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7485" tabRatio="650" activeTab="2"/>
  </bookViews>
  <sheets>
    <sheet name="FORM 1a-ABR Office" sheetId="1" r:id="rId1"/>
    <sheet name="FORM 1B-ABR Summary" sheetId="2" r:id="rId2"/>
    <sheet name="Sheet1" sheetId="3" r:id="rId3"/>
  </sheets>
  <externalReferences>
    <externalReference r:id="rId6"/>
  </externalReferences>
  <definedNames>
    <definedName name="a">'FORM 1a-ABR Office'!$C$1694</definedName>
    <definedName name="a1\">'FORM 1a-ABR Office'!$C$1862</definedName>
    <definedName name="bags" localSheetId="0">#REF!</definedName>
    <definedName name="bags" localSheetId="1">#REF!</definedName>
    <definedName name="bags">#REF!</definedName>
    <definedName name="bags1">#REF!</definedName>
    <definedName name="G620g110">'FORM 1a-ABR Office'!$G$608</definedName>
    <definedName name="_xlnm.Print_Area" localSheetId="0">'FORM 1a-ABR Office'!$A$1:$U$1885</definedName>
    <definedName name="_xlnm.Print_Area" localSheetId="1">'FORM 1B-ABR Summary'!$A$4:$I$150</definedName>
  </definedNames>
  <calcPr fullCalcOnLoad="1"/>
</workbook>
</file>

<file path=xl/sharedStrings.xml><?xml version="1.0" encoding="utf-8"?>
<sst xmlns="http://schemas.openxmlformats.org/spreadsheetml/2006/main" count="2985" uniqueCount="391">
  <si>
    <t>Medical, Dental &amp; Lab. Supplies Expenses</t>
  </si>
  <si>
    <t>Subscription Expenses</t>
  </si>
  <si>
    <t>Office Supplies Expenses</t>
  </si>
  <si>
    <t>Transportation Allowance (TA)</t>
  </si>
  <si>
    <t>Philhealth Contriubtions</t>
  </si>
  <si>
    <t>Taxes Duties and Premiums</t>
  </si>
  <si>
    <t>Secretary to the Sangguniang Bayan</t>
  </si>
  <si>
    <t>Salaries and Wages - Regular Pay</t>
  </si>
  <si>
    <t xml:space="preserve">Travelling Expenses - Local </t>
  </si>
  <si>
    <t xml:space="preserve"> Water Expenses</t>
  </si>
  <si>
    <t xml:space="preserve"> Electricity Expenses </t>
  </si>
  <si>
    <t>Other Maint. and Operating expenses</t>
  </si>
  <si>
    <t>Salaries and Wages - Contractual Pay</t>
  </si>
  <si>
    <t>Health Workers Benefit</t>
  </si>
  <si>
    <t>Aid to Barangays</t>
  </si>
  <si>
    <t>Telephone Expenses - Mobile</t>
  </si>
  <si>
    <t>Animal/Zoological Supplies Expenses</t>
  </si>
  <si>
    <t>Med., Dental, &amp; Laboratory Supplies Expenses</t>
  </si>
  <si>
    <t>Clothing/Uniform Allowance</t>
  </si>
  <si>
    <t>Training Expenses</t>
  </si>
  <si>
    <t>Market and Slaughterhouse</t>
  </si>
  <si>
    <t>Rep. &amp; Maint. -Land Improvement</t>
  </si>
  <si>
    <t>Municipal Agriculturist</t>
  </si>
  <si>
    <t>Total</t>
  </si>
  <si>
    <t>AVELINO A. DELA CRUZ</t>
  </si>
  <si>
    <t>Municipal Mayor</t>
  </si>
  <si>
    <t>Office Equipment</t>
  </si>
  <si>
    <t>Cash Gift</t>
  </si>
  <si>
    <t>Pag-ibig Contributions</t>
  </si>
  <si>
    <t>Printing &amp; Binding Expense</t>
  </si>
  <si>
    <t>Furniture &amp; Fixture</t>
  </si>
  <si>
    <t>Furnitures &amp; Fixtures</t>
  </si>
  <si>
    <t>Aid to Barangay Development Fund</t>
  </si>
  <si>
    <t>2.0 Capital Outlay</t>
  </si>
  <si>
    <t>TOTAL APPROPRIATIONS</t>
  </si>
  <si>
    <t>Municipal Budget Officer</t>
  </si>
  <si>
    <t>Approved by:</t>
  </si>
  <si>
    <t>Municipal Vice Mayor</t>
  </si>
  <si>
    <t>Sangguniang Bayan</t>
  </si>
  <si>
    <t>Municipal Treasurer</t>
  </si>
  <si>
    <t>Municipal Accountant</t>
  </si>
  <si>
    <t>ENDING BALANCE [(I+II)-III]</t>
  </si>
  <si>
    <t>Representation Allowance (RA)</t>
  </si>
  <si>
    <t>Personal Services</t>
  </si>
  <si>
    <t>Capital Outlay</t>
  </si>
  <si>
    <t>Internet Expense</t>
  </si>
  <si>
    <t>Pag-ibig Contribution</t>
  </si>
  <si>
    <t>Telephone Expenses - Landline</t>
  </si>
  <si>
    <t>Municipal Assessor</t>
  </si>
  <si>
    <t>Municipal Civil Registrar</t>
  </si>
  <si>
    <t>Municipal Engineer</t>
  </si>
  <si>
    <t>Municipal Development Fund</t>
  </si>
  <si>
    <t>Office:</t>
  </si>
  <si>
    <t>(Actual)</t>
  </si>
  <si>
    <t>(Proposed)</t>
  </si>
  <si>
    <t>Current operating expenditures</t>
  </si>
  <si>
    <t>TOTAL CAPITAL OUTLAY</t>
  </si>
  <si>
    <t>Other Personnell Benefis</t>
  </si>
  <si>
    <t>Other Maintenance and Operating Expenses</t>
  </si>
  <si>
    <t>Donations</t>
  </si>
  <si>
    <t>Other Maintenance and Operating Exepenses</t>
  </si>
  <si>
    <t>Health Workers Benefits (Medico Legal)</t>
  </si>
  <si>
    <t>MPDC</t>
  </si>
  <si>
    <t>Water Expenses</t>
  </si>
  <si>
    <t>Taxes Duties and Licenses</t>
  </si>
  <si>
    <t>Other Maintenance and Operating expenses</t>
  </si>
  <si>
    <t>Insurance Expenses</t>
  </si>
  <si>
    <t>Other Maintenance and Operating Exps.</t>
  </si>
  <si>
    <t>Terminal Leave Benefits</t>
  </si>
  <si>
    <t>Philhealth Contributions</t>
  </si>
  <si>
    <t>Philhealth Contribution</t>
  </si>
  <si>
    <t>Account</t>
  </si>
  <si>
    <t>Current Year</t>
  </si>
  <si>
    <t>Budget Year</t>
  </si>
  <si>
    <t>Code</t>
  </si>
  <si>
    <t>Generation, Transmission &amp; Distribution Expenses</t>
  </si>
  <si>
    <t>HERMINIGILDO C. LUIS</t>
  </si>
  <si>
    <t>Total Capital Outlay</t>
  </si>
  <si>
    <t>Office Supplies Expense</t>
  </si>
  <si>
    <t>Past Year</t>
  </si>
  <si>
    <t>Furniture &amp; Fixtures</t>
  </si>
  <si>
    <t>Membership dues and Cont. to Organizations</t>
  </si>
  <si>
    <t>Particulars</t>
  </si>
  <si>
    <t xml:space="preserve">First </t>
  </si>
  <si>
    <t xml:space="preserve">Second </t>
  </si>
  <si>
    <t>Semester</t>
  </si>
  <si>
    <t>(Estimate)</t>
  </si>
  <si>
    <t>STATUTORY/CONTRACTUAL AND BUDGETARY REQUIREMENTS</t>
  </si>
  <si>
    <t>General Services Officer</t>
  </si>
  <si>
    <t xml:space="preserve">         Training Expenses</t>
  </si>
  <si>
    <t>Terminal Leave Benefit</t>
  </si>
  <si>
    <t>Drugs and Medicines Expenses</t>
  </si>
  <si>
    <t>IT Equipment Software</t>
  </si>
  <si>
    <t>Personnel Economic Relief Allowance</t>
  </si>
  <si>
    <t>Drugs &amp; Medicines Expenses</t>
  </si>
  <si>
    <t>Transportation &amp; Delivery Expenses</t>
  </si>
  <si>
    <t>Year End Bonus</t>
  </si>
  <si>
    <t>TOTAL EXPENDITURES</t>
  </si>
  <si>
    <t>TOTAL</t>
  </si>
  <si>
    <t>Other Personnel Benefits</t>
  </si>
  <si>
    <t>Personnel Economic Relief Allowance(PERA)</t>
  </si>
  <si>
    <t xml:space="preserve">Electricity Expenses </t>
  </si>
  <si>
    <t xml:space="preserve">IT Equipment Software </t>
  </si>
  <si>
    <t>Other Maintenance &amp; Operating Expenses</t>
  </si>
  <si>
    <t>Legal Services</t>
  </si>
  <si>
    <t>ok</t>
  </si>
  <si>
    <t xml:space="preserve">         Traveling Expenses - Local </t>
  </si>
  <si>
    <t>eRPT (Computerized billing/collection</t>
  </si>
  <si>
    <t>eBPLS (Computerized transactions)</t>
  </si>
  <si>
    <t>Subscription Expense</t>
  </si>
  <si>
    <t>Motor Vehicle</t>
  </si>
  <si>
    <t>Janitorial Equipment</t>
  </si>
  <si>
    <t>CC/DRRM Fund</t>
  </si>
  <si>
    <t>5 01 01 010</t>
  </si>
  <si>
    <t>5 01 02 010</t>
  </si>
  <si>
    <t>5 01 02 020</t>
  </si>
  <si>
    <t>5 01 02 040</t>
  </si>
  <si>
    <t>5 01 02 150</t>
  </si>
  <si>
    <t>5 01 02 140</t>
  </si>
  <si>
    <t>5 01 03 010</t>
  </si>
  <si>
    <t>5 01 03 020</t>
  </si>
  <si>
    <t>5 01 03 030</t>
  </si>
  <si>
    <t>Employees Compensation Insurance Premiums</t>
  </si>
  <si>
    <t>5 01 03 040</t>
  </si>
  <si>
    <t>5 01 04 030</t>
  </si>
  <si>
    <t>5 01 04 990</t>
  </si>
  <si>
    <t>5 02 01 010</t>
  </si>
  <si>
    <t>5 02 02 010</t>
  </si>
  <si>
    <t>5 02 03 010</t>
  </si>
  <si>
    <t>5 02 03 070</t>
  </si>
  <si>
    <t>5 02 03 090</t>
  </si>
  <si>
    <t>5 02 04 010</t>
  </si>
  <si>
    <t>5 02 04 020</t>
  </si>
  <si>
    <t>Postage and Courier Services</t>
  </si>
  <si>
    <t>5 02 05 010</t>
  </si>
  <si>
    <t>5 02 05 020</t>
  </si>
  <si>
    <t>5 02 05 030</t>
  </si>
  <si>
    <t>5 02 99 060</t>
  </si>
  <si>
    <t>5 02 16 010</t>
  </si>
  <si>
    <t>5 02 16 030</t>
  </si>
  <si>
    <t>5 02 99 040</t>
  </si>
  <si>
    <t>5 02 99 070</t>
  </si>
  <si>
    <t>5 02 11 010</t>
  </si>
  <si>
    <t>5 02 09 010</t>
  </si>
  <si>
    <t>Repair and Maint.- Office Buildings &amp; Other Structure</t>
  </si>
  <si>
    <t>5 02 13 040</t>
  </si>
  <si>
    <t>Repair and Maint. - Machinery and Equipment</t>
  </si>
  <si>
    <t>5 02 13 050</t>
  </si>
  <si>
    <t>Repair and Maintenance - Trasportation Equipment</t>
  </si>
  <si>
    <t>5 02 13 060</t>
  </si>
  <si>
    <t>5 02 13 030</t>
  </si>
  <si>
    <t>5 02 99 080</t>
  </si>
  <si>
    <t>5 02 10 030</t>
  </si>
  <si>
    <t>5 02 99 990</t>
  </si>
  <si>
    <t>1 07 04 010</t>
  </si>
  <si>
    <t>1 07 05 020</t>
  </si>
  <si>
    <t>1 07 07 010</t>
  </si>
  <si>
    <t>1 07 05 030</t>
  </si>
  <si>
    <t>1 07 06 010</t>
  </si>
  <si>
    <t>5 01 02 030</t>
  </si>
  <si>
    <t>Year</t>
  </si>
  <si>
    <t>ATTY. VICENTE G. PAGURAYAN</t>
  </si>
  <si>
    <t xml:space="preserve">Income </t>
  </si>
  <si>
    <t>Classification</t>
  </si>
  <si>
    <t>Membership Dues and Cont. to Organizations</t>
  </si>
  <si>
    <t>PROGRAMMED APPROPRIATION AND OBLIGATION BY OBJECT OF EXPENDITURES</t>
  </si>
  <si>
    <t>Current Year (Estimate)</t>
  </si>
  <si>
    <t>Object of Expenditure</t>
  </si>
  <si>
    <t>First Semester</t>
  </si>
  <si>
    <t>Second Semester</t>
  </si>
  <si>
    <t>Approved:</t>
  </si>
  <si>
    <t>GLICERIO D. DELA CRUZ</t>
  </si>
  <si>
    <r>
      <t xml:space="preserve">LGU: </t>
    </r>
    <r>
      <rPr>
        <b/>
        <sz val="11"/>
        <rFont val="Amphion"/>
        <family val="0"/>
      </rPr>
      <t>Sto. Ni</t>
    </r>
    <r>
      <rPr>
        <b/>
        <sz val="11"/>
        <rFont val="Calibri"/>
        <family val="2"/>
      </rPr>
      <t>ñ</t>
    </r>
    <r>
      <rPr>
        <b/>
        <sz val="11"/>
        <rFont val="Amphion"/>
        <family val="0"/>
      </rPr>
      <t>o</t>
    </r>
  </si>
  <si>
    <t>Other Bonuses &amp; Allowances</t>
  </si>
  <si>
    <t>5 01 02 990</t>
  </si>
  <si>
    <t>Productivity Enhancement Incentive</t>
  </si>
  <si>
    <t>5 01 02 080</t>
  </si>
  <si>
    <t>Capital Outlays</t>
  </si>
  <si>
    <t>Maintenance and Other Operating Expenses</t>
  </si>
  <si>
    <t xml:space="preserve"> Capital Outlay</t>
  </si>
  <si>
    <t>General Services Office</t>
  </si>
  <si>
    <t>HAYDEE P. CATOLOS</t>
  </si>
  <si>
    <t>ROBERT D. SIMEON</t>
  </si>
  <si>
    <t>Municipal Planning Development Officer</t>
  </si>
  <si>
    <t>Muncipal Planning and Development Office</t>
  </si>
  <si>
    <t>Prepared:</t>
  </si>
  <si>
    <t>Reviewed:</t>
  </si>
  <si>
    <t>Municipal  Mayor</t>
  </si>
  <si>
    <t xml:space="preserve">    Maintenance and Other Operating Expenses</t>
  </si>
  <si>
    <t xml:space="preserve">   Maintenance and Other Operating Expenses</t>
  </si>
  <si>
    <t>Clothing/Uniform  Allowance</t>
  </si>
  <si>
    <t xml:space="preserve">Traveling Expenses - Local </t>
  </si>
  <si>
    <t>Total Maintenance and Other Operating Expenses</t>
  </si>
  <si>
    <t>Total Personal Services</t>
  </si>
  <si>
    <t xml:space="preserve">Municipal Health Officer         </t>
  </si>
  <si>
    <t xml:space="preserve">DR. ETHEL P. SIMEON </t>
  </si>
  <si>
    <t xml:space="preserve">HERMINIGILDO C. LUIS   </t>
  </si>
  <si>
    <t>Municipal Treasuer</t>
  </si>
  <si>
    <t>ENGR. ZOILO P. PIÑERA</t>
  </si>
  <si>
    <t xml:space="preserve">Municipal Engineer                   </t>
  </si>
  <si>
    <t xml:space="preserve">Municipal Social Welfare &amp; Dev't. Officer </t>
  </si>
  <si>
    <t>Fuel,  Oil and  Lubricants Expenses</t>
  </si>
  <si>
    <t xml:space="preserve"> Total Capital Outlay</t>
  </si>
  <si>
    <t>Total Capital Outlays</t>
  </si>
  <si>
    <t>Salaries and Wages - Contractual</t>
  </si>
  <si>
    <t>Municipal Health Office</t>
  </si>
  <si>
    <t>Municipal Social Welfare Develpment Office</t>
  </si>
  <si>
    <t>Subsistence Allowance</t>
  </si>
  <si>
    <t>LBP FORM No. 2</t>
  </si>
  <si>
    <t>Clothing Allowance</t>
  </si>
  <si>
    <t>Training  Expenses</t>
  </si>
  <si>
    <t xml:space="preserve">Furniture and Fixtures </t>
  </si>
  <si>
    <t xml:space="preserve"> Extraordinary &amp; Miscellaneous Expenses</t>
  </si>
  <si>
    <t>5 02 99 020</t>
  </si>
  <si>
    <t>Rep &amp; Maint.- Buildings &amp; Other Structure</t>
  </si>
  <si>
    <t>5 02 03 040</t>
  </si>
  <si>
    <t>5 01 02 050</t>
  </si>
  <si>
    <t>1 07 05 110</t>
  </si>
  <si>
    <t>5 02 03 080</t>
  </si>
  <si>
    <t>5 02 03 990</t>
  </si>
  <si>
    <t xml:space="preserve">Repair and Maintenance -Land Improvement </t>
  </si>
  <si>
    <t>5 02 13 020</t>
  </si>
  <si>
    <t xml:space="preserve">Salaries and Wages - Regular </t>
  </si>
  <si>
    <t>Salaries and Wages - Regular</t>
  </si>
  <si>
    <t>Personnel Economic Relief Allowance (PERA)</t>
  </si>
  <si>
    <t>Repair and Maintenance - Transportation Equipment</t>
  </si>
  <si>
    <t>Training   Expenses</t>
  </si>
  <si>
    <t xml:space="preserve">Telephone Expenses </t>
  </si>
  <si>
    <t xml:space="preserve">         Salaries and Wages - Regular</t>
  </si>
  <si>
    <t>Laundry Allowance</t>
  </si>
  <si>
    <t>Subsistence and Quarter Allowance</t>
  </si>
  <si>
    <t>5 01 02 060</t>
  </si>
  <si>
    <t>Retirement &amp; Life Insurance Contributions</t>
  </si>
  <si>
    <t>1 07 05 990</t>
  </si>
  <si>
    <t>Weighing Equipment</t>
  </si>
  <si>
    <t>Retirement &amp; Life Insurance Premiums</t>
  </si>
  <si>
    <t>Other Bonuses and Allowances</t>
  </si>
  <si>
    <t>Postage &amp; Courier Services</t>
  </si>
  <si>
    <t>Repair and Maint. - Transportation Equipment</t>
  </si>
  <si>
    <t xml:space="preserve">We hereby certify that the information presented above are true and correct. We further certify that the foregoing estimated receipts are reasonably </t>
  </si>
  <si>
    <t xml:space="preserve">projected as collectible for the Budget Year. </t>
  </si>
  <si>
    <t>Account Code</t>
  </si>
  <si>
    <t>Buildings</t>
  </si>
  <si>
    <t xml:space="preserve"> Training  Expenses</t>
  </si>
  <si>
    <t xml:space="preserve"> Traveling Expenses - Local </t>
  </si>
  <si>
    <t>5 02 02 020</t>
  </si>
  <si>
    <t>Confidential  Expenses</t>
  </si>
  <si>
    <t>5 02 10 010</t>
  </si>
  <si>
    <t>Peace and Order and Public Safety</t>
  </si>
  <si>
    <t>5 02 12 010</t>
  </si>
  <si>
    <t>Scholarship Grants/Expenses</t>
  </si>
  <si>
    <t>Janitorial Services</t>
  </si>
  <si>
    <t>5 02 12 020</t>
  </si>
  <si>
    <t>Other General Services</t>
  </si>
  <si>
    <t>5 02 12 990</t>
  </si>
  <si>
    <t>Other  General Services</t>
  </si>
  <si>
    <t>Environment/Sanitary Services</t>
  </si>
  <si>
    <t>Acountable Forms Expenses</t>
  </si>
  <si>
    <t>5 02 03 020</t>
  </si>
  <si>
    <t>Fidelity Bond Premiums</t>
  </si>
  <si>
    <t>5 02 16 020</t>
  </si>
  <si>
    <t>Municipal Disaster Risk Reduction and Management Office</t>
  </si>
  <si>
    <t>Accountable Forms</t>
  </si>
  <si>
    <t>Extraordinary &amp; Miscellaneous Expenses</t>
  </si>
  <si>
    <t>1 07 03 050</t>
  </si>
  <si>
    <t>Power Supply Systems (Road Safety/Street Lights)</t>
  </si>
  <si>
    <t>Repair &amp; Maint. of Public Infra. (Maint. Of Mun. Nursery)</t>
  </si>
  <si>
    <t>`</t>
  </si>
  <si>
    <t>5 02 03 100</t>
  </si>
  <si>
    <t>Agricultural and Marine Supplies Expenses</t>
  </si>
  <si>
    <t>Representation Expense</t>
  </si>
  <si>
    <t>5 02 99 030</t>
  </si>
  <si>
    <t>Representation Expenses</t>
  </si>
  <si>
    <t>Establishment of Motor Pool</t>
  </si>
  <si>
    <t>Municipal Treasurer/Municipal Assessor-Concurrent</t>
  </si>
  <si>
    <t>Municipal Vehicle</t>
  </si>
  <si>
    <t>Security Services</t>
  </si>
  <si>
    <t>LOYDA B. PIÑERA</t>
  </si>
  <si>
    <t>Adm. Asst. II/OIC-MBO-Designate</t>
  </si>
  <si>
    <t>MBO/Accountant Designate</t>
  </si>
  <si>
    <t>Special Purpose Appropriations (SPAs)</t>
  </si>
  <si>
    <t>Local Disaster Risk Reduction Management Fund</t>
  </si>
  <si>
    <t>Total Special Purpose Appropriations</t>
  </si>
  <si>
    <t>Other  Supplies and Materials Expenses</t>
  </si>
  <si>
    <t>Auditing Services</t>
  </si>
  <si>
    <t>Municipal Planning &amp; Development Coordinator</t>
  </si>
  <si>
    <t>Other General Services (Gen. Revision of RPA &amp; PC)</t>
  </si>
  <si>
    <t>5 02 03 120</t>
  </si>
  <si>
    <t>Administration of PHILSYS ID/National ID</t>
  </si>
  <si>
    <t>Tourism, Culture and Arts Program</t>
  </si>
  <si>
    <t>Repair and Maintenance - Infrastructure Assets</t>
  </si>
  <si>
    <t>5 02 12 030</t>
  </si>
  <si>
    <t>Municipal Environment &amp; Natural Resources Office</t>
  </si>
  <si>
    <t>Other Supplies Expense &amp; Materials Expenses</t>
  </si>
  <si>
    <t xml:space="preserve">Repair and Maint. - Transportation Equipment </t>
  </si>
  <si>
    <t>Fuel, Oil &amp; Lubricants Expenses</t>
  </si>
  <si>
    <t xml:space="preserve">Internet Subscription Expenses </t>
  </si>
  <si>
    <t>Printing &amp; Publication Expenses</t>
  </si>
  <si>
    <t>IT Equipment Software (CBMS)</t>
  </si>
  <si>
    <t xml:space="preserve">Printing &amp; Publication Expenses </t>
  </si>
  <si>
    <t>5 02 11 020</t>
  </si>
  <si>
    <t>Printing and Publication Expenses</t>
  </si>
  <si>
    <t xml:space="preserve">Environmental Sanitation </t>
  </si>
  <si>
    <t>5 02 06 010</t>
  </si>
  <si>
    <t>Awards/Rewards Expenses</t>
  </si>
  <si>
    <t>Awards/Rewards</t>
  </si>
  <si>
    <t>DENNIS I. PIÑERA</t>
  </si>
  <si>
    <t>MENRO-Designate</t>
  </si>
  <si>
    <t>JAYLORD S. CARODAN</t>
  </si>
  <si>
    <t>Secretary to the Sanggunian</t>
  </si>
  <si>
    <t>Repair and Maint.- Office  Bldgs.(Market &amp; Slaughterhouse)</t>
  </si>
  <si>
    <t>Environment/Sanitary Services(Waste Collection &amp; Management)</t>
  </si>
  <si>
    <t>Other Supplies Expense - (Janitorial Supplies)</t>
  </si>
  <si>
    <t>1 07 04 990</t>
  </si>
  <si>
    <t>5 02 03 050</t>
  </si>
  <si>
    <t>Water Supply System</t>
  </si>
  <si>
    <t>1 07 03 040</t>
  </si>
  <si>
    <t>1 07 03 990</t>
  </si>
  <si>
    <t>1 07 04 020</t>
  </si>
  <si>
    <t>1 07 05 080</t>
  </si>
  <si>
    <t>1 07 05 090</t>
  </si>
  <si>
    <t>Medical Equipment</t>
  </si>
  <si>
    <t>Non Accountable Forms</t>
  </si>
  <si>
    <t>5 02 03 030</t>
  </si>
  <si>
    <t>5 02 03 060</t>
  </si>
  <si>
    <t>Welfare Goods Expenses</t>
  </si>
  <si>
    <t>Prizes</t>
  </si>
  <si>
    <t>5 02 06 020</t>
  </si>
  <si>
    <t>5 02 07 010</t>
  </si>
  <si>
    <t>5 02 11 030</t>
  </si>
  <si>
    <t>Consultancy Services</t>
  </si>
  <si>
    <t>Interest Expense</t>
  </si>
  <si>
    <t>Financial Expense</t>
  </si>
  <si>
    <t>5 03 01 020</t>
  </si>
  <si>
    <t>Financial Expenses</t>
  </si>
  <si>
    <t>5 03 01  020</t>
  </si>
  <si>
    <t>Other Supplies and Material Expenses</t>
  </si>
  <si>
    <t>Non-Accountable Forms</t>
  </si>
  <si>
    <t>1 08 01 020</t>
  </si>
  <si>
    <t>Plants and Trees</t>
  </si>
  <si>
    <t>Total Personnel Services</t>
  </si>
  <si>
    <t xml:space="preserve">Other Supplies &amp; Materials </t>
  </si>
  <si>
    <t>Taxes, Duties and Licenses</t>
  </si>
  <si>
    <t>Repair and Maint. - Office Building &amp; other Structure</t>
  </si>
  <si>
    <t>Other Supplies Expenses</t>
  </si>
  <si>
    <t>Motor Vehcile</t>
  </si>
  <si>
    <t>Other Machinery and Equipment</t>
  </si>
  <si>
    <t xml:space="preserve">Donations </t>
  </si>
  <si>
    <t>Water System Management</t>
  </si>
  <si>
    <t>Other Supplies and Materials Expenses</t>
  </si>
  <si>
    <t>Survey Expense</t>
  </si>
  <si>
    <t>Hazard Pay</t>
  </si>
  <si>
    <t>5 01 02 110</t>
  </si>
  <si>
    <t xml:space="preserve">Other Supplies &amp; Operating Expenses </t>
  </si>
  <si>
    <t>Janitorial Expense</t>
  </si>
  <si>
    <t>Food Supplies Expenses</t>
  </si>
  <si>
    <t>Electricity Expense</t>
  </si>
  <si>
    <t>Printing &amp; Binding Expenses</t>
  </si>
  <si>
    <t>Repair and Maint. - Public Infrastructure</t>
  </si>
  <si>
    <t>Other Structure</t>
  </si>
  <si>
    <t>Other Infrastructure Asset</t>
  </si>
  <si>
    <t xml:space="preserve">Military, Police &amp; Traffic Supplies Expenses </t>
  </si>
  <si>
    <t>Tourism, Culture &amp; Arts Program</t>
  </si>
  <si>
    <t>Janitorial Services Expenses</t>
  </si>
  <si>
    <t>Food supplies Expenses</t>
  </si>
  <si>
    <t>Repair of Niug Norte Box Culvert</t>
  </si>
  <si>
    <t>Local Youth Development Office</t>
  </si>
  <si>
    <t>Local Cooperatives Development Office</t>
  </si>
  <si>
    <t>Local Tourism Office</t>
  </si>
  <si>
    <t>Agricultural and Biosystems Engineering Office</t>
  </si>
  <si>
    <t>ROSALIE S. TOMANENG</t>
  </si>
  <si>
    <t>Power Supply Sytem</t>
  </si>
  <si>
    <t>Power Supply System (Street Light, Generator)</t>
  </si>
  <si>
    <t>Adm. Asst. II/MBO-Designate</t>
  </si>
  <si>
    <t>Construction and Heavy Equipment</t>
  </si>
  <si>
    <t xml:space="preserve">Medical Equipment </t>
  </si>
  <si>
    <t>CY 2022</t>
  </si>
  <si>
    <t xml:space="preserve">ROMEL M. TEJADA </t>
  </si>
  <si>
    <t>ANDREW VINCENT R. PAGURAYAN</t>
  </si>
  <si>
    <t>Fidelity Bond</t>
  </si>
  <si>
    <t>BY 2023</t>
  </si>
  <si>
    <r>
      <rPr>
        <sz val="8"/>
        <rFont val="Arial"/>
        <family val="2"/>
      </rPr>
      <t>Military, Police &amp; Traffic Supplies Exps.</t>
    </r>
    <r>
      <rPr>
        <sz val="9"/>
        <rFont val="Arial"/>
        <family val="2"/>
      </rPr>
      <t>(Anti-Illegal Drug Campaign)</t>
    </r>
  </si>
  <si>
    <t xml:space="preserve">Peace and Order Public &amp; Safety </t>
  </si>
  <si>
    <t>FDPP Form 1b - Annual Budget Report, Summary
(DBM LBP Form No. 3)</t>
  </si>
  <si>
    <t>FDPP Form 1a - Annual Budget Report, by Office of Department</t>
  </si>
  <si>
    <t>(DBM Local Budget Memorandum No. 77 dated May 15, 2018, LBP Form No. 2)</t>
  </si>
  <si>
    <t xml:space="preserve">Note: This Form is to be filled-up or prepared by Office or by Department separately. Thus, the Annual Budget shall be composed of separate sheets </t>
  </si>
  <si>
    <t xml:space="preserve">          of this form per Office or Department.  In addition, Form 1b - ABR, Summary must also be filled-up and submitted.</t>
  </si>
  <si>
    <t>CURRENT OPERATIONAL EXPENDITURES</t>
  </si>
  <si>
    <t>Maintenance and other Operating Expenses</t>
  </si>
  <si>
    <t xml:space="preserve">Capital Outlay 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</si>
</sst>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₱&quot;#,##0_);\(&quot;₱&quot;#,##0\)"/>
    <numFmt numFmtId="165" formatCode="&quot;₱&quot;#,##0_);[Red]\(&quot;₱&quot;#,##0\)"/>
    <numFmt numFmtId="166" formatCode="&quot;₱&quot;#,##0.00_);\(&quot;₱&quot;#,##0.00\)"/>
    <numFmt numFmtId="167" formatCode="&quot;₱&quot;#,##0.00_);[Red]\(&quot;₱&quot;#,##0.00\)"/>
    <numFmt numFmtId="168" formatCode="_(&quot;₱&quot;* #,##0_);_(&quot;₱&quot;* \(#,##0\);_(&quot;₱&quot;* &quot;-&quot;_);_(@_)"/>
    <numFmt numFmtId="169" formatCode="_(&quot;₱&quot;* #,##0.00_);_(&quot;₱&quot;* \(#,##0.00\);_(&quot;₱&quot;* &quot;-&quot;??_);_(@_)"/>
    <numFmt numFmtId="170" formatCode="#,##0.00;[Red]#,##0.00"/>
    <numFmt numFmtId="171" formatCode="0.00_);\(0.00\)"/>
    <numFmt numFmtId="172" formatCode="_(* #,##0.000_);_(* \(#,##0.000\);_(* &quot;-&quot;??_);_(@_)"/>
    <numFmt numFmtId="173" formatCode="_(* #,##0.00000_);_(* \(#,##0.00000\);_(* &quot;-&quot;??_);_(@_)"/>
    <numFmt numFmtId="174" formatCode="#,##0;[Red]#,##0"/>
    <numFmt numFmtId="175" formatCode="_(* #,##0_);_(* \(#,##0\);_(* &quot;-&quot;??_);_(@_)"/>
    <numFmt numFmtId="176" formatCode="#,##0.0"/>
    <numFmt numFmtId="177" formatCode="0_);\(0\)"/>
    <numFmt numFmtId="178" formatCode="#,##0.00000;[Red]#,##0.00000"/>
    <numFmt numFmtId="179" formatCode="#,##0.000000;[Red]#,##0.000000"/>
    <numFmt numFmtId="180" formatCode="#,##0.00000_);\(#,##0.00000\)"/>
    <numFmt numFmtId="181" formatCode="#,##0.000_);\(#,##0.000\)"/>
    <numFmt numFmtId="182" formatCode="#,##0.0000_);\(#,##0.0000\)"/>
    <numFmt numFmtId="183" formatCode="#,##0.0;[Red]#,##0.0"/>
    <numFmt numFmtId="184" formatCode="#,##0.000;[Red]#,##0.000"/>
    <numFmt numFmtId="185" formatCode="#,##0.0000;[Red]#,##0.0000"/>
    <numFmt numFmtId="186" formatCode="_(* #,##0.0_);_(* \(#,##0.0\);_(* &quot;-&quot;??_);_(@_)"/>
    <numFmt numFmtId="187" formatCode="_(* #,##0.0000_);_(* \(#,##0.0000\);_(* &quot;-&quot;??_);_(@_)"/>
    <numFmt numFmtId="188" formatCode="_(* #,##0.000_);_(* \(#,##0.000\);_(* &quot;-&quot;?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[$-3409]dddd\,\ mmmm\ dd\,\ yyyy"/>
    <numFmt numFmtId="196" formatCode="[$-409]h:mm:ss\ AM/PM"/>
    <numFmt numFmtId="197" formatCode="_(* #,##0.000000_);_(* \(#,##0.000000\);_(* &quot;-&quot;??_);_(@_)"/>
    <numFmt numFmtId="198" formatCode="_(* #,##0.0000000_);_(* \(#,##0.0000000\);_(* &quot;-&quot;??_);_(@_)"/>
    <numFmt numFmtId="199" formatCode="_(* #,##0.00000000_);_(* \(#,##0.00000000\);_(* &quot;-&quot;??_);_(@_)"/>
    <numFmt numFmtId="200" formatCode="0.0%"/>
    <numFmt numFmtId="201" formatCode="0;[Red]0"/>
    <numFmt numFmtId="202" formatCode="_(* #,##0.0000000_);_(* \(#,##0.0000000\);_(* &quot;-&quot;???????_);_(@_)"/>
    <numFmt numFmtId="203" formatCode="0.0"/>
    <numFmt numFmtId="204" formatCode="0.0000000000"/>
    <numFmt numFmtId="205" formatCode="0.000000000"/>
  </numFmts>
  <fonts count="9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mphion"/>
      <family val="2"/>
    </font>
    <font>
      <b/>
      <sz val="9"/>
      <name val="Arial"/>
      <family val="2"/>
    </font>
    <font>
      <sz val="7"/>
      <name val="Arial"/>
      <family val="2"/>
    </font>
    <font>
      <b/>
      <sz val="11"/>
      <name val="Amphion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8"/>
      <name val="Symphony"/>
      <family val="2"/>
    </font>
    <font>
      <b/>
      <sz val="8"/>
      <name val="Symphony"/>
      <family val="2"/>
    </font>
    <font>
      <sz val="9"/>
      <name val="Symphony"/>
      <family val="2"/>
    </font>
    <font>
      <b/>
      <sz val="9"/>
      <name val="Symphony"/>
      <family val="2"/>
    </font>
    <font>
      <sz val="7"/>
      <name val="Symphony"/>
      <family val="2"/>
    </font>
    <font>
      <sz val="10"/>
      <name val="Symphony"/>
      <family val="2"/>
    </font>
    <font>
      <b/>
      <sz val="10"/>
      <name val="Symphony"/>
      <family val="2"/>
    </font>
    <font>
      <b/>
      <sz val="7"/>
      <name val="Symphony"/>
      <family val="2"/>
    </font>
    <font>
      <b/>
      <sz val="7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u val="singleAccounting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0"/>
      <color indexed="10"/>
      <name val="Symphony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b/>
      <sz val="8"/>
      <color indexed="9"/>
      <name val="Symphony"/>
      <family val="2"/>
    </font>
    <font>
      <b/>
      <sz val="10"/>
      <color indexed="9"/>
      <name val="Symphony"/>
      <family val="2"/>
    </font>
    <font>
      <sz val="8"/>
      <color indexed="9"/>
      <name val="Arial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Symphony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FF0000"/>
      <name val="Symphony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b/>
      <sz val="8"/>
      <color theme="0"/>
      <name val="Symphony"/>
      <family val="2"/>
    </font>
    <font>
      <b/>
      <sz val="10"/>
      <color theme="0"/>
      <name val="Symphony"/>
      <family val="2"/>
    </font>
    <font>
      <sz val="8"/>
      <color theme="0"/>
      <name val="Arial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sz val="8"/>
      <color theme="1"/>
      <name val="Symphony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>
        <color indexed="63"/>
      </left>
      <right style="thin"/>
      <top style="thin">
        <color indexed="63"/>
      </top>
      <bottom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 style="hair"/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/>
      <bottom style="hair"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hair"/>
      <bottom style="thin"/>
    </border>
    <border>
      <left style="thin"/>
      <right style="thin"/>
      <top style="thin"/>
      <bottom style="dotted"/>
    </border>
    <border>
      <left style="thin"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5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70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70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70" fontId="0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70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 indent="1"/>
    </xf>
    <xf numFmtId="0" fontId="1" fillId="0" borderId="10" xfId="0" applyFont="1" applyBorder="1" applyAlignment="1">
      <alignment horizontal="left" indent="1"/>
    </xf>
    <xf numFmtId="0" fontId="5" fillId="0" borderId="0" xfId="0" applyFont="1" applyAlignment="1">
      <alignment/>
    </xf>
    <xf numFmtId="43" fontId="0" fillId="0" borderId="0" xfId="42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left" indent="2"/>
    </xf>
    <xf numFmtId="0" fontId="0" fillId="0" borderId="13" xfId="0" applyFont="1" applyBorder="1" applyAlignment="1">
      <alignment horizontal="left" indent="3"/>
    </xf>
    <xf numFmtId="0" fontId="3" fillId="0" borderId="13" xfId="0" applyFont="1" applyBorder="1" applyAlignment="1">
      <alignment horizontal="left" indent="2"/>
    </xf>
    <xf numFmtId="170" fontId="1" fillId="0" borderId="13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indent="2"/>
    </xf>
    <xf numFmtId="0" fontId="0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left" indent="2"/>
    </xf>
    <xf numFmtId="0" fontId="0" fillId="0" borderId="0" xfId="0" applyFont="1" applyBorder="1" applyAlignment="1">
      <alignment horizontal="left" indent="2"/>
    </xf>
    <xf numFmtId="0" fontId="3" fillId="0" borderId="13" xfId="0" applyFont="1" applyBorder="1" applyAlignment="1">
      <alignment horizontal="left" indent="1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left" indent="2"/>
    </xf>
    <xf numFmtId="0" fontId="0" fillId="0" borderId="10" xfId="0" applyFont="1" applyBorder="1" applyAlignment="1">
      <alignment horizontal="left" indent="3"/>
    </xf>
    <xf numFmtId="0" fontId="1" fillId="0" borderId="10" xfId="0" applyFont="1" applyBorder="1" applyAlignment="1">
      <alignment horizontal="left" indent="2"/>
    </xf>
    <xf numFmtId="0" fontId="3" fillId="0" borderId="1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43" fontId="0" fillId="0" borderId="0" xfId="0" applyNumberFormat="1" applyFont="1" applyAlignment="1">
      <alignment/>
    </xf>
    <xf numFmtId="0" fontId="1" fillId="0" borderId="14" xfId="0" applyFont="1" applyBorder="1" applyAlignment="1" quotePrefix="1">
      <alignment horizontal="center"/>
    </xf>
    <xf numFmtId="43" fontId="5" fillId="0" borderId="0" xfId="0" applyNumberFormat="1" applyFont="1" applyAlignment="1">
      <alignment/>
    </xf>
    <xf numFmtId="0" fontId="0" fillId="0" borderId="17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170" fontId="1" fillId="0" borderId="15" xfId="0" applyNumberFormat="1" applyFont="1" applyBorder="1" applyAlignment="1">
      <alignment/>
    </xf>
    <xf numFmtId="170" fontId="1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left" indent="2"/>
    </xf>
    <xf numFmtId="0" fontId="0" fillId="0" borderId="10" xfId="0" applyBorder="1" applyAlignment="1">
      <alignment horizontal="center"/>
    </xf>
    <xf numFmtId="0" fontId="0" fillId="0" borderId="0" xfId="0" applyFont="1" applyBorder="1" applyAlignment="1">
      <alignment horizontal="center"/>
    </xf>
    <xf numFmtId="170" fontId="0" fillId="0" borderId="0" xfId="0" applyNumberFormat="1" applyFont="1" applyBorder="1" applyAlignment="1">
      <alignment/>
    </xf>
    <xf numFmtId="170" fontId="0" fillId="0" borderId="13" xfId="42" applyNumberFormat="1" applyFont="1" applyBorder="1" applyAlignment="1">
      <alignment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/>
    </xf>
    <xf numFmtId="0" fontId="0" fillId="0" borderId="10" xfId="0" applyFont="1" applyBorder="1" applyAlignment="1">
      <alignment horizontal="left" indent="4"/>
    </xf>
    <xf numFmtId="0" fontId="4" fillId="0" borderId="10" xfId="0" applyFont="1" applyBorder="1" applyAlignment="1">
      <alignment horizontal="left" indent="4"/>
    </xf>
    <xf numFmtId="0" fontId="4" fillId="0" borderId="13" xfId="0" applyFont="1" applyBorder="1" applyAlignment="1">
      <alignment horizontal="left" indent="3"/>
    </xf>
    <xf numFmtId="0" fontId="0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left" indent="1"/>
    </xf>
    <xf numFmtId="0" fontId="0" fillId="0" borderId="15" xfId="0" applyFont="1" applyBorder="1" applyAlignment="1">
      <alignment/>
    </xf>
    <xf numFmtId="43" fontId="0" fillId="0" borderId="10" xfId="42" applyFont="1" applyFill="1" applyBorder="1" applyAlignment="1">
      <alignment/>
    </xf>
    <xf numFmtId="170" fontId="5" fillId="0" borderId="0" xfId="0" applyNumberFormat="1" applyFont="1" applyAlignment="1">
      <alignment/>
    </xf>
    <xf numFmtId="0" fontId="18" fillId="0" borderId="0" xfId="0" applyFont="1" applyBorder="1" applyAlignment="1">
      <alignment/>
    </xf>
    <xf numFmtId="17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 quotePrefix="1">
      <alignment horizontal="center"/>
    </xf>
    <xf numFmtId="170" fontId="0" fillId="0" borderId="10" xfId="42" applyNumberFormat="1" applyFont="1" applyBorder="1" applyAlignment="1">
      <alignment/>
    </xf>
    <xf numFmtId="0" fontId="23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6" xfId="0" applyFont="1" applyBorder="1" applyAlignment="1">
      <alignment/>
    </xf>
    <xf numFmtId="170" fontId="0" fillId="0" borderId="13" xfId="0" applyNumberFormat="1" applyFont="1" applyBorder="1" applyAlignment="1">
      <alignment/>
    </xf>
    <xf numFmtId="170" fontId="1" fillId="0" borderId="20" xfId="0" applyNumberFormat="1" applyFont="1" applyBorder="1" applyAlignment="1">
      <alignment/>
    </xf>
    <xf numFmtId="0" fontId="1" fillId="0" borderId="21" xfId="0" applyFont="1" applyBorder="1" applyAlignment="1" quotePrefix="1">
      <alignment horizontal="center"/>
    </xf>
    <xf numFmtId="0" fontId="1" fillId="0" borderId="22" xfId="0" applyFont="1" applyBorder="1" applyAlignment="1" quotePrefix="1">
      <alignment horizontal="center"/>
    </xf>
    <xf numFmtId="43" fontId="17" fillId="0" borderId="10" xfId="42" applyFont="1" applyBorder="1" applyAlignment="1">
      <alignment/>
    </xf>
    <xf numFmtId="4" fontId="23" fillId="0" borderId="10" xfId="0" applyNumberFormat="1" applyFont="1" applyBorder="1" applyAlignment="1">
      <alignment/>
    </xf>
    <xf numFmtId="0" fontId="23" fillId="0" borderId="10" xfId="0" applyFont="1" applyBorder="1" applyAlignment="1">
      <alignment horizontal="center"/>
    </xf>
    <xf numFmtId="170" fontId="5" fillId="0" borderId="18" xfId="0" applyNumberFormat="1" applyFont="1" applyBorder="1" applyAlignment="1">
      <alignment/>
    </xf>
    <xf numFmtId="0" fontId="4" fillId="0" borderId="10" xfId="0" applyFont="1" applyBorder="1" applyAlignment="1">
      <alignment horizontal="left" indent="2"/>
    </xf>
    <xf numFmtId="0" fontId="1" fillId="0" borderId="0" xfId="0" applyFont="1" applyAlignment="1">
      <alignment horizontal="left" indent="6"/>
    </xf>
    <xf numFmtId="0" fontId="1" fillId="0" borderId="0" xfId="0" applyFont="1" applyBorder="1" applyAlignment="1">
      <alignment horizontal="left"/>
    </xf>
    <xf numFmtId="170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0" fontId="0" fillId="0" borderId="0" xfId="0" applyFont="1" applyAlignment="1">
      <alignment horizontal="left" indent="6"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 horizontal="left" indent="2"/>
    </xf>
    <xf numFmtId="0" fontId="1" fillId="0" borderId="0" xfId="0" applyFont="1" applyBorder="1" applyAlignment="1">
      <alignment horizontal="left" indent="2"/>
    </xf>
    <xf numFmtId="0" fontId="23" fillId="0" borderId="10" xfId="0" applyFont="1" applyBorder="1" applyAlignment="1">
      <alignment horizontal="left" indent="3"/>
    </xf>
    <xf numFmtId="170" fontId="1" fillId="0" borderId="24" xfId="0" applyNumberFormat="1" applyFont="1" applyBorder="1" applyAlignment="1">
      <alignment/>
    </xf>
    <xf numFmtId="170" fontId="0" fillId="0" borderId="24" xfId="0" applyNumberFormat="1" applyFont="1" applyBorder="1" applyAlignment="1">
      <alignment/>
    </xf>
    <xf numFmtId="170" fontId="1" fillId="0" borderId="25" xfId="0" applyNumberFormat="1" applyFont="1" applyBorder="1" applyAlignment="1">
      <alignment/>
    </xf>
    <xf numFmtId="0" fontId="0" fillId="0" borderId="24" xfId="0" applyFont="1" applyBorder="1" applyAlignment="1">
      <alignment/>
    </xf>
    <xf numFmtId="43" fontId="0" fillId="0" borderId="15" xfId="42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3" xfId="0" applyFont="1" applyBorder="1" applyAlignment="1">
      <alignment horizontal="left" indent="4"/>
    </xf>
    <xf numFmtId="43" fontId="0" fillId="0" borderId="13" xfId="42" applyFont="1" applyBorder="1" applyAlignment="1">
      <alignment/>
    </xf>
    <xf numFmtId="0" fontId="0" fillId="0" borderId="27" xfId="0" applyFont="1" applyBorder="1" applyAlignment="1">
      <alignment/>
    </xf>
    <xf numFmtId="170" fontId="0" fillId="0" borderId="2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>
      <alignment/>
    </xf>
    <xf numFmtId="43" fontId="0" fillId="0" borderId="0" xfId="0" applyNumberFormat="1" applyFont="1" applyBorder="1" applyAlignment="1">
      <alignment/>
    </xf>
    <xf numFmtId="39" fontId="0" fillId="0" borderId="15" xfId="42" applyNumberFormat="1" applyFont="1" applyBorder="1" applyAlignment="1">
      <alignment/>
    </xf>
    <xf numFmtId="176" fontId="5" fillId="0" borderId="0" xfId="0" applyNumberFormat="1" applyFont="1" applyAlignment="1">
      <alignment/>
    </xf>
    <xf numFmtId="170" fontId="0" fillId="0" borderId="13" xfId="0" applyNumberFormat="1" applyFont="1" applyFill="1" applyBorder="1" applyAlignment="1">
      <alignment/>
    </xf>
    <xf numFmtId="170" fontId="0" fillId="33" borderId="13" xfId="0" applyNumberFormat="1" applyFont="1" applyFill="1" applyBorder="1" applyAlignment="1">
      <alignment/>
    </xf>
    <xf numFmtId="170" fontId="0" fillId="33" borderId="10" xfId="0" applyNumberFormat="1" applyFont="1" applyFill="1" applyBorder="1" applyAlignment="1">
      <alignment/>
    </xf>
    <xf numFmtId="43" fontId="1" fillId="0" borderId="0" xfId="42" applyFont="1" applyBorder="1" applyAlignment="1">
      <alignment/>
    </xf>
    <xf numFmtId="0" fontId="0" fillId="0" borderId="10" xfId="0" applyFont="1" applyFill="1" applyBorder="1" applyAlignment="1">
      <alignment horizontal="left" indent="3"/>
    </xf>
    <xf numFmtId="0" fontId="65" fillId="26" borderId="0" xfId="39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indent="3"/>
    </xf>
    <xf numFmtId="0" fontId="0" fillId="33" borderId="10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indent="3"/>
    </xf>
    <xf numFmtId="0" fontId="0" fillId="33" borderId="0" xfId="0" applyFont="1" applyFill="1" applyAlignment="1">
      <alignment/>
    </xf>
    <xf numFmtId="43" fontId="0" fillId="0" borderId="0" xfId="42" applyFont="1" applyBorder="1" applyAlignment="1">
      <alignment/>
    </xf>
    <xf numFmtId="0" fontId="0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left" indent="4"/>
    </xf>
    <xf numFmtId="170" fontId="80" fillId="0" borderId="10" xfId="0" applyNumberFormat="1" applyFont="1" applyBorder="1" applyAlignment="1">
      <alignment/>
    </xf>
    <xf numFmtId="170" fontId="80" fillId="0" borderId="0" xfId="0" applyNumberFormat="1" applyFont="1" applyAlignment="1">
      <alignment/>
    </xf>
    <xf numFmtId="170" fontId="0" fillId="33" borderId="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/>
    </xf>
    <xf numFmtId="170" fontId="1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left" indent="3"/>
    </xf>
    <xf numFmtId="39" fontId="0" fillId="0" borderId="0" xfId="0" applyNumberFormat="1" applyFont="1" applyAlignment="1">
      <alignment/>
    </xf>
    <xf numFmtId="0" fontId="0" fillId="0" borderId="25" xfId="0" applyFont="1" applyBorder="1" applyAlignment="1">
      <alignment horizontal="left" indent="3"/>
    </xf>
    <xf numFmtId="0" fontId="0" fillId="0" borderId="17" xfId="0" applyFont="1" applyBorder="1" applyAlignment="1">
      <alignment horizontal="left" indent="3"/>
    </xf>
    <xf numFmtId="43" fontId="0" fillId="33" borderId="10" xfId="42" applyFont="1" applyFill="1" applyBorder="1" applyAlignment="1">
      <alignment/>
    </xf>
    <xf numFmtId="43" fontId="0" fillId="0" borderId="15" xfId="42" applyFont="1" applyFill="1" applyBorder="1" applyAlignment="1">
      <alignment/>
    </xf>
    <xf numFmtId="0" fontId="0" fillId="33" borderId="13" xfId="0" applyFont="1" applyFill="1" applyBorder="1" applyAlignment="1">
      <alignment horizontal="left" indent="2"/>
    </xf>
    <xf numFmtId="170" fontId="80" fillId="33" borderId="13" xfId="0" applyNumberFormat="1" applyFont="1" applyFill="1" applyBorder="1" applyAlignment="1">
      <alignment/>
    </xf>
    <xf numFmtId="0" fontId="0" fillId="0" borderId="28" xfId="0" applyFont="1" applyBorder="1" applyAlignment="1">
      <alignment horizontal="left" indent="4"/>
    </xf>
    <xf numFmtId="170" fontId="0" fillId="0" borderId="16" xfId="42" applyNumberFormat="1" applyFont="1" applyBorder="1" applyAlignment="1">
      <alignment/>
    </xf>
    <xf numFmtId="4" fontId="0" fillId="0" borderId="15" xfId="42" applyNumberFormat="1" applyFont="1" applyBorder="1" applyAlignment="1">
      <alignment/>
    </xf>
    <xf numFmtId="39" fontId="0" fillId="0" borderId="10" xfId="42" applyNumberFormat="1" applyFont="1" applyBorder="1" applyAlignment="1">
      <alignment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170" fontId="0" fillId="0" borderId="20" xfId="0" applyNumberFormat="1" applyFont="1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7" fillId="0" borderId="10" xfId="0" applyFont="1" applyBorder="1" applyAlignment="1">
      <alignment horizontal="left" indent="2"/>
    </xf>
    <xf numFmtId="0" fontId="16" fillId="0" borderId="10" xfId="0" applyFont="1" applyBorder="1" applyAlignment="1">
      <alignment horizontal="left" indent="2"/>
    </xf>
    <xf numFmtId="0" fontId="27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 indent="7"/>
    </xf>
    <xf numFmtId="0" fontId="1" fillId="0" borderId="0" xfId="0" applyFont="1" applyBorder="1" applyAlignment="1">
      <alignment horizontal="left" indent="7"/>
    </xf>
    <xf numFmtId="0" fontId="1" fillId="0" borderId="0" xfId="0" applyFont="1" applyBorder="1" applyAlignment="1" quotePrefix="1">
      <alignment horizontal="center"/>
    </xf>
    <xf numFmtId="170" fontId="0" fillId="0" borderId="0" xfId="42" applyNumberFormat="1" applyFont="1" applyBorder="1" applyAlignment="1">
      <alignment/>
    </xf>
    <xf numFmtId="170" fontId="80" fillId="33" borderId="0" xfId="0" applyNumberFormat="1" applyFont="1" applyFill="1" applyBorder="1" applyAlignment="1">
      <alignment/>
    </xf>
    <xf numFmtId="170" fontId="81" fillId="33" borderId="0" xfId="0" applyNumberFormat="1" applyFont="1" applyFill="1" applyBorder="1" applyAlignment="1">
      <alignment/>
    </xf>
    <xf numFmtId="39" fontId="0" fillId="0" borderId="0" xfId="42" applyNumberFormat="1" applyFont="1" applyBorder="1" applyAlignment="1">
      <alignment/>
    </xf>
    <xf numFmtId="4" fontId="0" fillId="0" borderId="0" xfId="42" applyNumberFormat="1" applyFont="1" applyBorder="1" applyAlignment="1">
      <alignment/>
    </xf>
    <xf numFmtId="43" fontId="0" fillId="0" borderId="0" xfId="42" applyFont="1" applyFill="1" applyBorder="1" applyAlignment="1">
      <alignment/>
    </xf>
    <xf numFmtId="170" fontId="80" fillId="0" borderId="0" xfId="0" applyNumberFormat="1" applyFont="1" applyBorder="1" applyAlignment="1">
      <alignment/>
    </xf>
    <xf numFmtId="43" fontId="80" fillId="0" borderId="0" xfId="0" applyNumberFormat="1" applyFont="1" applyBorder="1" applyAlignment="1">
      <alignment/>
    </xf>
    <xf numFmtId="43" fontId="17" fillId="0" borderId="0" xfId="42" applyFont="1" applyBorder="1" applyAlignment="1">
      <alignment/>
    </xf>
    <xf numFmtId="4" fontId="1" fillId="0" borderId="0" xfId="0" applyNumberFormat="1" applyFont="1" applyBorder="1" applyAlignment="1">
      <alignment/>
    </xf>
    <xf numFmtId="43" fontId="0" fillId="0" borderId="0" xfId="42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27" fillId="0" borderId="23" xfId="0" applyFont="1" applyBorder="1" applyAlignment="1">
      <alignment horizontal="left" indent="2"/>
    </xf>
    <xf numFmtId="0" fontId="27" fillId="0" borderId="0" xfId="0" applyFont="1" applyBorder="1" applyAlignment="1">
      <alignment horizontal="left" indent="2"/>
    </xf>
    <xf numFmtId="0" fontId="0" fillId="0" borderId="23" xfId="0" applyFont="1" applyBorder="1" applyAlignment="1">
      <alignment horizontal="left" indent="2"/>
    </xf>
    <xf numFmtId="170" fontId="0" fillId="0" borderId="23" xfId="0" applyNumberFormat="1" applyFont="1" applyBorder="1" applyAlignment="1">
      <alignment/>
    </xf>
    <xf numFmtId="0" fontId="0" fillId="0" borderId="18" xfId="0" applyFont="1" applyBorder="1" applyAlignment="1">
      <alignment horizontal="left" indent="2"/>
    </xf>
    <xf numFmtId="170" fontId="0" fillId="0" borderId="18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/>
    </xf>
    <xf numFmtId="170" fontId="1" fillId="0" borderId="29" xfId="0" applyNumberFormat="1" applyFont="1" applyBorder="1" applyAlignment="1">
      <alignment/>
    </xf>
    <xf numFmtId="0" fontId="0" fillId="33" borderId="13" xfId="0" applyFont="1" applyFill="1" applyBorder="1" applyAlignment="1">
      <alignment horizontal="center"/>
    </xf>
    <xf numFmtId="4" fontId="20" fillId="0" borderId="10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0" fontId="1" fillId="0" borderId="18" xfId="0" applyFont="1" applyBorder="1" applyAlignment="1">
      <alignment horizontal="left" indent="2"/>
    </xf>
    <xf numFmtId="4" fontId="1" fillId="0" borderId="18" xfId="0" applyNumberFormat="1" applyFont="1" applyBorder="1" applyAlignment="1">
      <alignment/>
    </xf>
    <xf numFmtId="0" fontId="0" fillId="0" borderId="30" xfId="0" applyFont="1" applyBorder="1" applyAlignment="1">
      <alignment/>
    </xf>
    <xf numFmtId="170" fontId="0" fillId="0" borderId="29" xfId="0" applyNumberFormat="1" applyFont="1" applyBorder="1" applyAlignment="1">
      <alignment/>
    </xf>
    <xf numFmtId="0" fontId="1" fillId="0" borderId="23" xfId="0" applyFont="1" applyBorder="1" applyAlignment="1">
      <alignment horizontal="left" indent="1"/>
    </xf>
    <xf numFmtId="170" fontId="1" fillId="0" borderId="23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0" fillId="0" borderId="23" xfId="0" applyNumberFormat="1" applyFont="1" applyBorder="1" applyAlignment="1">
      <alignment/>
    </xf>
    <xf numFmtId="0" fontId="0" fillId="33" borderId="13" xfId="0" applyFont="1" applyFill="1" applyBorder="1" applyAlignment="1">
      <alignment horizontal="left" indent="4"/>
    </xf>
    <xf numFmtId="0" fontId="1" fillId="33" borderId="13" xfId="0" applyFont="1" applyFill="1" applyBorder="1" applyAlignment="1">
      <alignment horizontal="left" indent="3"/>
    </xf>
    <xf numFmtId="0" fontId="0" fillId="0" borderId="16" xfId="0" applyFont="1" applyBorder="1" applyAlignment="1">
      <alignment horizontal="left" indent="1"/>
    </xf>
    <xf numFmtId="0" fontId="0" fillId="0" borderId="2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4" fontId="20" fillId="33" borderId="10" xfId="0" applyNumberFormat="1" applyFont="1" applyFill="1" applyBorder="1" applyAlignment="1">
      <alignment/>
    </xf>
    <xf numFmtId="4" fontId="20" fillId="0" borderId="0" xfId="0" applyNumberFormat="1" applyFont="1" applyBorder="1" applyAlignment="1">
      <alignment/>
    </xf>
    <xf numFmtId="170" fontId="5" fillId="0" borderId="0" xfId="44" applyNumberFormat="1" applyFont="1" applyBorder="1" applyAlignment="1">
      <alignment/>
    </xf>
    <xf numFmtId="0" fontId="20" fillId="0" borderId="31" xfId="0" applyFont="1" applyBorder="1" applyAlignment="1">
      <alignment horizontal="left" indent="2"/>
    </xf>
    <xf numFmtId="0" fontId="23" fillId="0" borderId="0" xfId="0" applyFont="1" applyBorder="1" applyAlignment="1">
      <alignment horizontal="left" indent="3"/>
    </xf>
    <xf numFmtId="0" fontId="2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70" fontId="23" fillId="0" borderId="0" xfId="0" applyNumberFormat="1" applyFont="1" applyBorder="1" applyAlignment="1">
      <alignment/>
    </xf>
    <xf numFmtId="170" fontId="5" fillId="0" borderId="23" xfId="0" applyNumberFormat="1" applyFont="1" applyBorder="1" applyAlignment="1">
      <alignment/>
    </xf>
    <xf numFmtId="4" fontId="20" fillId="0" borderId="15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32" xfId="0" applyFont="1" applyBorder="1" applyAlignment="1">
      <alignment horizontal="left" indent="2"/>
    </xf>
    <xf numFmtId="4" fontId="0" fillId="0" borderId="15" xfId="42" applyNumberFormat="1" applyFont="1" applyFill="1" applyBorder="1" applyAlignment="1">
      <alignment/>
    </xf>
    <xf numFmtId="0" fontId="4" fillId="0" borderId="23" xfId="0" applyFont="1" applyBorder="1" applyAlignment="1">
      <alignment horizontal="left" indent="2"/>
    </xf>
    <xf numFmtId="0" fontId="20" fillId="0" borderId="23" xfId="0" applyFont="1" applyBorder="1" applyAlignment="1">
      <alignment horizontal="center"/>
    </xf>
    <xf numFmtId="170" fontId="5" fillId="0" borderId="23" xfId="44" applyNumberFormat="1" applyFont="1" applyBorder="1" applyAlignment="1">
      <alignment/>
    </xf>
    <xf numFmtId="0" fontId="4" fillId="0" borderId="18" xfId="0" applyFont="1" applyBorder="1" applyAlignment="1">
      <alignment horizontal="left" indent="2"/>
    </xf>
    <xf numFmtId="0" fontId="20" fillId="0" borderId="18" xfId="0" applyFont="1" applyBorder="1" applyAlignment="1">
      <alignment horizontal="center"/>
    </xf>
    <xf numFmtId="170" fontId="5" fillId="0" borderId="18" xfId="44" applyNumberFormat="1" applyFont="1" applyBorder="1" applyAlignment="1">
      <alignment/>
    </xf>
    <xf numFmtId="0" fontId="6" fillId="0" borderId="32" xfId="0" applyFont="1" applyBorder="1" applyAlignment="1">
      <alignment/>
    </xf>
    <xf numFmtId="170" fontId="5" fillId="0" borderId="32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0" fontId="5" fillId="0" borderId="32" xfId="0" applyFont="1" applyBorder="1" applyAlignment="1">
      <alignment/>
    </xf>
    <xf numFmtId="4" fontId="5" fillId="0" borderId="32" xfId="0" applyNumberFormat="1" applyFont="1" applyBorder="1" applyAlignment="1">
      <alignment horizontal="right"/>
    </xf>
    <xf numFmtId="0" fontId="0" fillId="0" borderId="32" xfId="0" applyFont="1" applyBorder="1" applyAlignment="1">
      <alignment horizontal="left" indent="2"/>
    </xf>
    <xf numFmtId="0" fontId="0" fillId="0" borderId="32" xfId="0" applyFont="1" applyBorder="1" applyAlignment="1">
      <alignment horizontal="center"/>
    </xf>
    <xf numFmtId="170" fontId="5" fillId="0" borderId="32" xfId="44" applyNumberFormat="1" applyFont="1" applyBorder="1" applyAlignment="1">
      <alignment/>
    </xf>
    <xf numFmtId="0" fontId="0" fillId="0" borderId="33" xfId="0" applyFont="1" applyBorder="1" applyAlignment="1">
      <alignment horizontal="left" indent="2"/>
    </xf>
    <xf numFmtId="170" fontId="5" fillId="0" borderId="33" xfId="0" applyNumberFormat="1" applyFont="1" applyBorder="1" applyAlignment="1">
      <alignment/>
    </xf>
    <xf numFmtId="170" fontId="6" fillId="0" borderId="32" xfId="0" applyNumberFormat="1" applyFont="1" applyBorder="1" applyAlignment="1">
      <alignment/>
    </xf>
    <xf numFmtId="43" fontId="5" fillId="0" borderId="32" xfId="0" applyNumberFormat="1" applyFont="1" applyBorder="1" applyAlignment="1">
      <alignment/>
    </xf>
    <xf numFmtId="0" fontId="14" fillId="0" borderId="32" xfId="0" applyFont="1" applyBorder="1" applyAlignment="1">
      <alignment horizontal="left"/>
    </xf>
    <xf numFmtId="0" fontId="4" fillId="0" borderId="32" xfId="0" applyFont="1" applyBorder="1" applyAlignment="1">
      <alignment horizontal="left" indent="2"/>
    </xf>
    <xf numFmtId="0" fontId="4" fillId="0" borderId="34" xfId="0" applyFont="1" applyBorder="1" applyAlignment="1">
      <alignment horizontal="left" indent="2"/>
    </xf>
    <xf numFmtId="170" fontId="5" fillId="0" borderId="34" xfId="0" applyNumberFormat="1" applyFont="1" applyBorder="1" applyAlignment="1">
      <alignment/>
    </xf>
    <xf numFmtId="0" fontId="4" fillId="33" borderId="32" xfId="0" applyFont="1" applyFill="1" applyBorder="1" applyAlignment="1">
      <alignment horizontal="left" indent="2"/>
    </xf>
    <xf numFmtId="170" fontId="15" fillId="0" borderId="32" xfId="0" applyNumberFormat="1" applyFont="1" applyBorder="1" applyAlignment="1">
      <alignment/>
    </xf>
    <xf numFmtId="170" fontId="6" fillId="0" borderId="32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2" xfId="0" applyFont="1" applyBorder="1" applyAlignment="1">
      <alignment horizontal="left" indent="1"/>
    </xf>
    <xf numFmtId="43" fontId="9" fillId="0" borderId="32" xfId="44" applyFont="1" applyBorder="1" applyAlignment="1">
      <alignment/>
    </xf>
    <xf numFmtId="43" fontId="5" fillId="0" borderId="32" xfId="44" applyFont="1" applyBorder="1" applyAlignment="1">
      <alignment/>
    </xf>
    <xf numFmtId="43" fontId="18" fillId="0" borderId="32" xfId="44" applyFont="1" applyBorder="1" applyAlignment="1">
      <alignment/>
    </xf>
    <xf numFmtId="4" fontId="18" fillId="0" borderId="32" xfId="0" applyNumberFormat="1" applyFont="1" applyBorder="1" applyAlignment="1">
      <alignment/>
    </xf>
    <xf numFmtId="0" fontId="18" fillId="0" borderId="32" xfId="0" applyFont="1" applyBorder="1" applyAlignment="1">
      <alignment/>
    </xf>
    <xf numFmtId="0" fontId="25" fillId="0" borderId="32" xfId="0" applyFont="1" applyBorder="1" applyAlignment="1">
      <alignment horizontal="left" indent="2"/>
    </xf>
    <xf numFmtId="0" fontId="18" fillId="0" borderId="32" xfId="0" applyFont="1" applyBorder="1" applyAlignment="1">
      <alignment horizontal="center"/>
    </xf>
    <xf numFmtId="43" fontId="25" fillId="0" borderId="33" xfId="44" applyFont="1" applyBorder="1" applyAlignment="1">
      <alignment/>
    </xf>
    <xf numFmtId="0" fontId="19" fillId="0" borderId="32" xfId="0" applyFont="1" applyBorder="1" applyAlignment="1">
      <alignment horizontal="left" indent="1"/>
    </xf>
    <xf numFmtId="43" fontId="22" fillId="0" borderId="32" xfId="44" applyFont="1" applyBorder="1" applyAlignment="1">
      <alignment/>
    </xf>
    <xf numFmtId="0" fontId="21" fillId="0" borderId="32" xfId="0" applyFont="1" applyBorder="1" applyAlignment="1">
      <alignment horizontal="left" indent="1"/>
    </xf>
    <xf numFmtId="0" fontId="20" fillId="0" borderId="33" xfId="0" applyFont="1" applyBorder="1" applyAlignment="1">
      <alignment horizontal="center"/>
    </xf>
    <xf numFmtId="170" fontId="19" fillId="0" borderId="32" xfId="0" applyNumberFormat="1" applyFont="1" applyBorder="1" applyAlignment="1">
      <alignment/>
    </xf>
    <xf numFmtId="170" fontId="19" fillId="0" borderId="33" xfId="0" applyNumberFormat="1" applyFont="1" applyBorder="1" applyAlignment="1">
      <alignment/>
    </xf>
    <xf numFmtId="0" fontId="19" fillId="0" borderId="32" xfId="0" applyFont="1" applyBorder="1" applyAlignment="1">
      <alignment/>
    </xf>
    <xf numFmtId="39" fontId="25" fillId="0" borderId="32" xfId="0" applyNumberFormat="1" applyFont="1" applyBorder="1" applyAlignment="1">
      <alignment/>
    </xf>
    <xf numFmtId="0" fontId="19" fillId="0" borderId="34" xfId="0" applyFont="1" applyBorder="1" applyAlignment="1">
      <alignment/>
    </xf>
    <xf numFmtId="0" fontId="18" fillId="0" borderId="34" xfId="0" applyFont="1" applyBorder="1" applyAlignment="1">
      <alignment/>
    </xf>
    <xf numFmtId="170" fontId="19" fillId="0" borderId="34" xfId="0" applyNumberFormat="1" applyFont="1" applyBorder="1" applyAlignment="1">
      <alignment/>
    </xf>
    <xf numFmtId="0" fontId="3" fillId="0" borderId="35" xfId="0" applyFont="1" applyBorder="1" applyAlignment="1">
      <alignment horizontal="left" indent="1"/>
    </xf>
    <xf numFmtId="0" fontId="0" fillId="0" borderId="24" xfId="0" applyFont="1" applyBorder="1" applyAlignment="1">
      <alignment horizontal="left" indent="3"/>
    </xf>
    <xf numFmtId="0" fontId="3" fillId="0" borderId="24" xfId="0" applyFont="1" applyBorder="1" applyAlignment="1">
      <alignment horizontal="left" indent="1"/>
    </xf>
    <xf numFmtId="0" fontId="1" fillId="0" borderId="24" xfId="0" applyFont="1" applyBorder="1" applyAlignment="1">
      <alignment/>
    </xf>
    <xf numFmtId="0" fontId="0" fillId="0" borderId="36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 horizontal="left" indent="2"/>
    </xf>
    <xf numFmtId="0" fontId="1" fillId="0" borderId="37" xfId="0" applyFont="1" applyBorder="1" applyAlignment="1" quotePrefix="1">
      <alignment horizontal="center"/>
    </xf>
    <xf numFmtId="0" fontId="0" fillId="0" borderId="38" xfId="0" applyFont="1" applyBorder="1" applyAlignment="1">
      <alignment horizontal="left" indent="3"/>
    </xf>
    <xf numFmtId="0" fontId="0" fillId="0" borderId="38" xfId="0" applyFont="1" applyBorder="1" applyAlignment="1">
      <alignment horizontal="left" indent="2"/>
    </xf>
    <xf numFmtId="0" fontId="1" fillId="0" borderId="39" xfId="0" applyFont="1" applyBorder="1" applyAlignment="1">
      <alignment/>
    </xf>
    <xf numFmtId="0" fontId="1" fillId="0" borderId="11" xfId="0" applyFont="1" applyBorder="1" applyAlignment="1">
      <alignment horizontal="left" indent="1"/>
    </xf>
    <xf numFmtId="0" fontId="5" fillId="0" borderId="33" xfId="0" applyFont="1" applyBorder="1" applyAlignment="1">
      <alignment horizontal="left" indent="2"/>
    </xf>
    <xf numFmtId="4" fontId="0" fillId="0" borderId="13" xfId="0" applyNumberFormat="1" applyFont="1" applyBorder="1" applyAlignment="1">
      <alignment/>
    </xf>
    <xf numFmtId="170" fontId="0" fillId="33" borderId="10" xfId="42" applyNumberFormat="1" applyFont="1" applyFill="1" applyBorder="1" applyAlignment="1">
      <alignment/>
    </xf>
    <xf numFmtId="43" fontId="0" fillId="33" borderId="15" xfId="42" applyFont="1" applyFill="1" applyBorder="1" applyAlignment="1">
      <alignment/>
    </xf>
    <xf numFmtId="39" fontId="0" fillId="33" borderId="10" xfId="42" applyNumberFormat="1" applyFont="1" applyFill="1" applyBorder="1" applyAlignment="1">
      <alignment/>
    </xf>
    <xf numFmtId="170" fontId="1" fillId="33" borderId="10" xfId="0" applyNumberFormat="1" applyFont="1" applyFill="1" applyBorder="1" applyAlignment="1">
      <alignment/>
    </xf>
    <xf numFmtId="170" fontId="0" fillId="33" borderId="13" xfId="42" applyNumberFormat="1" applyFont="1" applyFill="1" applyBorder="1" applyAlignment="1">
      <alignment/>
    </xf>
    <xf numFmtId="43" fontId="81" fillId="0" borderId="10" xfId="0" applyNumberFormat="1" applyFont="1" applyBorder="1" applyAlignment="1">
      <alignment/>
    </xf>
    <xf numFmtId="43" fontId="0" fillId="33" borderId="10" xfId="0" applyNumberFormat="1" applyFont="1" applyFill="1" applyBorder="1" applyAlignment="1">
      <alignment/>
    </xf>
    <xf numFmtId="170" fontId="5" fillId="33" borderId="32" xfId="44" applyNumberFormat="1" applyFont="1" applyFill="1" applyBorder="1" applyAlignment="1">
      <alignment/>
    </xf>
    <xf numFmtId="43" fontId="5" fillId="33" borderId="32" xfId="44" applyNumberFormat="1" applyFont="1" applyFill="1" applyBorder="1" applyAlignment="1">
      <alignment/>
    </xf>
    <xf numFmtId="170" fontId="0" fillId="0" borderId="0" xfId="0" applyNumberFormat="1" applyFont="1" applyAlignment="1" quotePrefix="1">
      <alignment/>
    </xf>
    <xf numFmtId="39" fontId="5" fillId="33" borderId="32" xfId="0" applyNumberFormat="1" applyFont="1" applyFill="1" applyBorder="1" applyAlignment="1">
      <alignment/>
    </xf>
    <xf numFmtId="170" fontId="80" fillId="33" borderId="10" xfId="0" applyNumberFormat="1" applyFont="1" applyFill="1" applyBorder="1" applyAlignment="1">
      <alignment/>
    </xf>
    <xf numFmtId="0" fontId="4" fillId="0" borderId="13" xfId="0" applyFont="1" applyBorder="1" applyAlignment="1">
      <alignment horizontal="left" indent="2"/>
    </xf>
    <xf numFmtId="0" fontId="6" fillId="0" borderId="32" xfId="0" applyFont="1" applyBorder="1" applyAlignment="1">
      <alignment horizontal="left" indent="2"/>
    </xf>
    <xf numFmtId="0" fontId="4" fillId="33" borderId="13" xfId="0" applyFont="1" applyFill="1" applyBorder="1" applyAlignment="1">
      <alignment horizontal="left" indent="2"/>
    </xf>
    <xf numFmtId="0" fontId="82" fillId="33" borderId="29" xfId="0" applyFont="1" applyFill="1" applyBorder="1" applyAlignment="1">
      <alignment horizontal="left" indent="3"/>
    </xf>
    <xf numFmtId="0" fontId="0" fillId="33" borderId="29" xfId="0" applyFont="1" applyFill="1" applyBorder="1" applyAlignment="1">
      <alignment horizontal="center"/>
    </xf>
    <xf numFmtId="170" fontId="0" fillId="33" borderId="29" xfId="0" applyNumberFormat="1" applyFont="1" applyFill="1" applyBorder="1" applyAlignment="1">
      <alignment/>
    </xf>
    <xf numFmtId="170" fontId="1" fillId="33" borderId="13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left" indent="4"/>
    </xf>
    <xf numFmtId="43" fontId="0" fillId="33" borderId="10" xfId="42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6" fillId="0" borderId="13" xfId="0" applyFont="1" applyBorder="1" applyAlignment="1">
      <alignment horizontal="center"/>
    </xf>
    <xf numFmtId="170" fontId="5" fillId="33" borderId="0" xfId="0" applyNumberFormat="1" applyFont="1" applyFill="1" applyAlignment="1">
      <alignment/>
    </xf>
    <xf numFmtId="43" fontId="5" fillId="0" borderId="0" xfId="42" applyFont="1" applyAlignment="1">
      <alignment/>
    </xf>
    <xf numFmtId="0" fontId="23" fillId="33" borderId="10" xfId="0" applyFont="1" applyFill="1" applyBorder="1" applyAlignment="1">
      <alignment horizontal="left" indent="3"/>
    </xf>
    <xf numFmtId="0" fontId="1" fillId="0" borderId="24" xfId="0" applyFont="1" applyBorder="1" applyAlignment="1">
      <alignment horizontal="left" indent="1"/>
    </xf>
    <xf numFmtId="0" fontId="3" fillId="33" borderId="24" xfId="0" applyFont="1" applyFill="1" applyBorder="1" applyAlignment="1">
      <alignment horizontal="left" indent="1"/>
    </xf>
    <xf numFmtId="0" fontId="3" fillId="33" borderId="13" xfId="0" applyFont="1" applyFill="1" applyBorder="1" applyAlignment="1">
      <alignment horizontal="left" indent="1"/>
    </xf>
    <xf numFmtId="0" fontId="20" fillId="0" borderId="10" xfId="0" applyFont="1" applyBorder="1" applyAlignment="1">
      <alignment horizontal="left" indent="2"/>
    </xf>
    <xf numFmtId="43" fontId="0" fillId="33" borderId="13" xfId="42" applyFont="1" applyFill="1" applyBorder="1" applyAlignment="1">
      <alignment/>
    </xf>
    <xf numFmtId="170" fontId="83" fillId="0" borderId="24" xfId="0" applyNumberFormat="1" applyFont="1" applyBorder="1" applyAlignment="1">
      <alignment/>
    </xf>
    <xf numFmtId="0" fontId="0" fillId="33" borderId="15" xfId="0" applyFont="1" applyFill="1" applyBorder="1" applyAlignment="1">
      <alignment/>
    </xf>
    <xf numFmtId="170" fontId="1" fillId="0" borderId="17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 indent="3"/>
    </xf>
    <xf numFmtId="39" fontId="0" fillId="0" borderId="40" xfId="0" applyNumberFormat="1" applyFont="1" applyFill="1" applyBorder="1" applyAlignment="1">
      <alignment/>
    </xf>
    <xf numFmtId="0" fontId="18" fillId="0" borderId="32" xfId="0" applyFont="1" applyBorder="1" applyAlignment="1">
      <alignment horizontal="left" indent="2"/>
    </xf>
    <xf numFmtId="43" fontId="6" fillId="0" borderId="32" xfId="0" applyNumberFormat="1" applyFont="1" applyBorder="1" applyAlignment="1">
      <alignment/>
    </xf>
    <xf numFmtId="43" fontId="26" fillId="0" borderId="32" xfId="0" applyNumberFormat="1" applyFont="1" applyBorder="1" applyAlignment="1">
      <alignment/>
    </xf>
    <xf numFmtId="0" fontId="21" fillId="0" borderId="32" xfId="0" applyFont="1" applyBorder="1" applyAlignment="1">
      <alignment horizontal="left" indent="1"/>
    </xf>
    <xf numFmtId="0" fontId="0" fillId="33" borderId="16" xfId="0" applyFont="1" applyFill="1" applyBorder="1" applyAlignment="1">
      <alignment horizontal="center"/>
    </xf>
    <xf numFmtId="170" fontId="8" fillId="0" borderId="13" xfId="0" applyNumberFormat="1" applyFont="1" applyBorder="1" applyAlignment="1">
      <alignment/>
    </xf>
    <xf numFmtId="43" fontId="8" fillId="0" borderId="15" xfId="42" applyFont="1" applyBorder="1" applyAlignment="1">
      <alignment/>
    </xf>
    <xf numFmtId="170" fontId="8" fillId="0" borderId="14" xfId="0" applyNumberFormat="1" applyFont="1" applyBorder="1" applyAlignment="1">
      <alignment/>
    </xf>
    <xf numFmtId="170" fontId="5" fillId="0" borderId="41" xfId="0" applyNumberFormat="1" applyFont="1" applyBorder="1" applyAlignment="1">
      <alignment/>
    </xf>
    <xf numFmtId="0" fontId="1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3" xfId="0" applyFont="1" applyBorder="1" applyAlignment="1">
      <alignment horizontal="left" indent="2"/>
    </xf>
    <xf numFmtId="170" fontId="0" fillId="0" borderId="43" xfId="0" applyNumberFormat="1" applyFont="1" applyBorder="1" applyAlignment="1">
      <alignment/>
    </xf>
    <xf numFmtId="0" fontId="4" fillId="0" borderId="44" xfId="0" applyFont="1" applyBorder="1" applyAlignment="1">
      <alignment horizontal="left" indent="2"/>
    </xf>
    <xf numFmtId="0" fontId="84" fillId="0" borderId="0" xfId="0" applyFont="1" applyBorder="1" applyAlignment="1">
      <alignment/>
    </xf>
    <xf numFmtId="0" fontId="85" fillId="0" borderId="0" xfId="0" applyFont="1" applyBorder="1" applyAlignment="1">
      <alignment/>
    </xf>
    <xf numFmtId="0" fontId="1" fillId="0" borderId="45" xfId="0" applyFont="1" applyBorder="1" applyAlignment="1">
      <alignment horizontal="center"/>
    </xf>
    <xf numFmtId="0" fontId="86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4" fillId="0" borderId="46" xfId="0" applyFont="1" applyBorder="1" applyAlignment="1">
      <alignment horizontal="left" indent="2"/>
    </xf>
    <xf numFmtId="0" fontId="0" fillId="33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43" fontId="29" fillId="0" borderId="0" xfId="0" applyNumberFormat="1" applyFont="1" applyAlignment="1">
      <alignment/>
    </xf>
    <xf numFmtId="4" fontId="20" fillId="0" borderId="10" xfId="0" applyNumberFormat="1" applyFont="1" applyFill="1" applyBorder="1" applyAlignment="1">
      <alignment/>
    </xf>
    <xf numFmtId="0" fontId="23" fillId="33" borderId="24" xfId="0" applyFont="1" applyFill="1" applyBorder="1" applyAlignment="1">
      <alignment horizontal="left" indent="3"/>
    </xf>
    <xf numFmtId="170" fontId="1" fillId="0" borderId="23" xfId="0" applyNumberFormat="1" applyFont="1" applyFill="1" applyBorder="1" applyAlignment="1">
      <alignment/>
    </xf>
    <xf numFmtId="0" fontId="0" fillId="0" borderId="47" xfId="0" applyFont="1" applyBorder="1" applyAlignment="1">
      <alignment horizontal="left" indent="3"/>
    </xf>
    <xf numFmtId="0" fontId="4" fillId="0" borderId="48" xfId="0" applyFont="1" applyBorder="1" applyAlignment="1">
      <alignment horizontal="left" indent="2"/>
    </xf>
    <xf numFmtId="0" fontId="85" fillId="0" borderId="25" xfId="0" applyFont="1" applyBorder="1" applyAlignment="1">
      <alignment horizontal="left" indent="4"/>
    </xf>
    <xf numFmtId="0" fontId="0" fillId="0" borderId="24" xfId="0" applyFont="1" applyBorder="1" applyAlignment="1">
      <alignment horizontal="left" indent="2"/>
    </xf>
    <xf numFmtId="0" fontId="20" fillId="0" borderId="32" xfId="0" applyFont="1" applyBorder="1" applyAlignment="1">
      <alignment horizontal="left" indent="1"/>
    </xf>
    <xf numFmtId="0" fontId="4" fillId="0" borderId="44" xfId="0" applyFont="1" applyBorder="1" applyAlignment="1">
      <alignment horizontal="left" indent="1"/>
    </xf>
    <xf numFmtId="0" fontId="4" fillId="0" borderId="13" xfId="0" applyFont="1" applyBorder="1" applyAlignment="1">
      <alignment horizontal="left" indent="1"/>
    </xf>
    <xf numFmtId="0" fontId="4" fillId="0" borderId="32" xfId="0" applyFont="1" applyBorder="1" applyAlignment="1">
      <alignment horizontal="left" indent="1"/>
    </xf>
    <xf numFmtId="0" fontId="4" fillId="33" borderId="32" xfId="0" applyFont="1" applyFill="1" applyBorder="1" applyAlignment="1">
      <alignment horizontal="left" indent="1"/>
    </xf>
    <xf numFmtId="0" fontId="8" fillId="0" borderId="32" xfId="0" applyFont="1" applyBorder="1" applyAlignment="1">
      <alignment horizontal="left" indent="1"/>
    </xf>
    <xf numFmtId="0" fontId="4" fillId="0" borderId="33" xfId="0" applyFont="1" applyBorder="1" applyAlignment="1">
      <alignment horizontal="left" indent="1"/>
    </xf>
    <xf numFmtId="0" fontId="20" fillId="0" borderId="31" xfId="0" applyFont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0" fontId="20" fillId="0" borderId="31" xfId="0" applyFont="1" applyBorder="1" applyAlignment="1">
      <alignment horizontal="left" indent="1"/>
    </xf>
    <xf numFmtId="0" fontId="20" fillId="0" borderId="49" xfId="0" applyFont="1" applyBorder="1" applyAlignment="1">
      <alignment horizontal="left" indent="1"/>
    </xf>
    <xf numFmtId="0" fontId="0" fillId="0" borderId="13" xfId="0" applyFont="1" applyFill="1" applyBorder="1" applyAlignment="1">
      <alignment horizontal="center"/>
    </xf>
    <xf numFmtId="0" fontId="0" fillId="0" borderId="16" xfId="0" applyFont="1" applyBorder="1" applyAlignment="1">
      <alignment horizontal="left" indent="2"/>
    </xf>
    <xf numFmtId="39" fontId="0" fillId="0" borderId="10" xfId="42" applyNumberFormat="1" applyFont="1" applyFill="1" applyBorder="1" applyAlignment="1">
      <alignment/>
    </xf>
    <xf numFmtId="170" fontId="5" fillId="0" borderId="32" xfId="44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indent="3"/>
    </xf>
    <xf numFmtId="43" fontId="0" fillId="0" borderId="13" xfId="42" applyFont="1" applyFill="1" applyBorder="1" applyAlignment="1">
      <alignment/>
    </xf>
    <xf numFmtId="0" fontId="4" fillId="0" borderId="16" xfId="0" applyFont="1" applyBorder="1" applyAlignment="1">
      <alignment horizontal="left" indent="1"/>
    </xf>
    <xf numFmtId="43" fontId="5" fillId="0" borderId="32" xfId="0" applyNumberFormat="1" applyFont="1" applyFill="1" applyBorder="1" applyAlignment="1">
      <alignment/>
    </xf>
    <xf numFmtId="43" fontId="6" fillId="0" borderId="32" xfId="0" applyNumberFormat="1" applyFont="1" applyFill="1" applyBorder="1" applyAlignment="1">
      <alignment/>
    </xf>
    <xf numFmtId="39" fontId="5" fillId="0" borderId="3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indent="3"/>
    </xf>
    <xf numFmtId="0" fontId="0" fillId="0" borderId="17" xfId="0" applyFont="1" applyFill="1" applyBorder="1" applyAlignment="1">
      <alignment horizontal="left" indent="3"/>
    </xf>
    <xf numFmtId="170" fontId="80" fillId="0" borderId="10" xfId="0" applyNumberFormat="1" applyFont="1" applyFill="1" applyBorder="1" applyAlignment="1">
      <alignment/>
    </xf>
    <xf numFmtId="43" fontId="0" fillId="0" borderId="24" xfId="0" applyNumberFormat="1" applyFont="1" applyFill="1" applyBorder="1" applyAlignment="1">
      <alignment/>
    </xf>
    <xf numFmtId="170" fontId="80" fillId="0" borderId="13" xfId="0" applyNumberFormat="1" applyFont="1" applyFill="1" applyBorder="1" applyAlignment="1">
      <alignment/>
    </xf>
    <xf numFmtId="4" fontId="5" fillId="0" borderId="32" xfId="0" applyNumberFormat="1" applyFont="1" applyFill="1" applyBorder="1" applyAlignment="1">
      <alignment/>
    </xf>
    <xf numFmtId="170" fontId="6" fillId="0" borderId="32" xfId="0" applyNumberFormat="1" applyFont="1" applyFill="1" applyBorder="1" applyAlignment="1">
      <alignment/>
    </xf>
    <xf numFmtId="170" fontId="5" fillId="0" borderId="34" xfId="44" applyNumberFormat="1" applyFont="1" applyFill="1" applyBorder="1" applyAlignment="1">
      <alignment/>
    </xf>
    <xf numFmtId="43" fontId="5" fillId="0" borderId="32" xfId="44" applyNumberFormat="1" applyFont="1" applyFill="1" applyBorder="1" applyAlignment="1">
      <alignment/>
    </xf>
    <xf numFmtId="170" fontId="6" fillId="0" borderId="32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3"/>
    </xf>
    <xf numFmtId="0" fontId="4" fillId="0" borderId="41" xfId="0" applyFont="1" applyBorder="1" applyAlignment="1">
      <alignment horizontal="left" indent="2"/>
    </xf>
    <xf numFmtId="43" fontId="9" fillId="0" borderId="32" xfId="44" applyFont="1" applyFill="1" applyBorder="1" applyAlignment="1">
      <alignment/>
    </xf>
    <xf numFmtId="43" fontId="22" fillId="0" borderId="32" xfId="44" applyFont="1" applyFill="1" applyBorder="1" applyAlignment="1">
      <alignment/>
    </xf>
    <xf numFmtId="170" fontId="19" fillId="0" borderId="32" xfId="0" applyNumberFormat="1" applyFont="1" applyFill="1" applyBorder="1" applyAlignment="1">
      <alignment/>
    </xf>
    <xf numFmtId="39" fontId="5" fillId="0" borderId="41" xfId="0" applyNumberFormat="1" applyFont="1" applyFill="1" applyBorder="1" applyAlignment="1">
      <alignment/>
    </xf>
    <xf numFmtId="170" fontId="5" fillId="0" borderId="33" xfId="44" applyNumberFormat="1" applyFont="1" applyFill="1" applyBorder="1" applyAlignment="1">
      <alignment/>
    </xf>
    <xf numFmtId="0" fontId="5" fillId="0" borderId="23" xfId="0" applyFont="1" applyBorder="1" applyAlignment="1">
      <alignment horizontal="left" indent="2"/>
    </xf>
    <xf numFmtId="0" fontId="4" fillId="0" borderId="23" xfId="0" applyFont="1" applyBorder="1" applyAlignment="1">
      <alignment horizontal="left" indent="1"/>
    </xf>
    <xf numFmtId="39" fontId="5" fillId="33" borderId="23" xfId="0" applyNumberFormat="1" applyFont="1" applyFill="1" applyBorder="1" applyAlignment="1">
      <alignment/>
    </xf>
    <xf numFmtId="0" fontId="5" fillId="0" borderId="0" xfId="0" applyFont="1" applyBorder="1" applyAlignment="1">
      <alignment horizontal="left" indent="2"/>
    </xf>
    <xf numFmtId="0" fontId="4" fillId="0" borderId="0" xfId="0" applyFont="1" applyBorder="1" applyAlignment="1">
      <alignment horizontal="left" indent="1"/>
    </xf>
    <xf numFmtId="39" fontId="5" fillId="33" borderId="0" xfId="0" applyNumberFormat="1" applyFont="1" applyFill="1" applyBorder="1" applyAlignment="1">
      <alignment/>
    </xf>
    <xf numFmtId="170" fontId="88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3" fontId="18" fillId="0" borderId="32" xfId="44" applyFont="1" applyFill="1" applyBorder="1" applyAlignment="1">
      <alignment/>
    </xf>
    <xf numFmtId="4" fontId="18" fillId="0" borderId="32" xfId="0" applyNumberFormat="1" applyFont="1" applyFill="1" applyBorder="1" applyAlignment="1">
      <alignment/>
    </xf>
    <xf numFmtId="43" fontId="25" fillId="0" borderId="33" xfId="44" applyFont="1" applyFill="1" applyBorder="1" applyAlignment="1">
      <alignment/>
    </xf>
    <xf numFmtId="170" fontId="25" fillId="0" borderId="32" xfId="0" applyNumberFormat="1" applyFont="1" applyFill="1" applyBorder="1" applyAlignment="1">
      <alignment/>
    </xf>
    <xf numFmtId="43" fontId="26" fillId="0" borderId="32" xfId="0" applyNumberFormat="1" applyFont="1" applyFill="1" applyBorder="1" applyAlignment="1">
      <alignment/>
    </xf>
    <xf numFmtId="170" fontId="25" fillId="0" borderId="33" xfId="0" applyNumberFormat="1" applyFont="1" applyFill="1" applyBorder="1" applyAlignment="1">
      <alignment/>
    </xf>
    <xf numFmtId="170" fontId="5" fillId="0" borderId="32" xfId="0" applyNumberFormat="1" applyFont="1" applyFill="1" applyBorder="1" applyAlignment="1">
      <alignment/>
    </xf>
    <xf numFmtId="170" fontId="10" fillId="0" borderId="0" xfId="0" applyNumberFormat="1" applyFont="1" applyAlignment="1">
      <alignment horizontal="center"/>
    </xf>
    <xf numFmtId="0" fontId="5" fillId="0" borderId="50" xfId="0" applyFont="1" applyBorder="1" applyAlignment="1">
      <alignment horizontal="left" indent="2"/>
    </xf>
    <xf numFmtId="0" fontId="4" fillId="0" borderId="50" xfId="0" applyFont="1" applyBorder="1" applyAlignment="1">
      <alignment horizontal="left" indent="1"/>
    </xf>
    <xf numFmtId="170" fontId="5" fillId="0" borderId="50" xfId="0" applyNumberFormat="1" applyFont="1" applyBorder="1" applyAlignment="1">
      <alignment/>
    </xf>
    <xf numFmtId="0" fontId="23" fillId="33" borderId="23" xfId="0" applyFont="1" applyFill="1" applyBorder="1" applyAlignment="1">
      <alignment horizontal="left" indent="3"/>
    </xf>
    <xf numFmtId="0" fontId="0" fillId="33" borderId="23" xfId="0" applyFont="1" applyFill="1" applyBorder="1" applyAlignment="1">
      <alignment horizontal="center"/>
    </xf>
    <xf numFmtId="170" fontId="0" fillId="33" borderId="23" xfId="0" applyNumberFormat="1" applyFont="1" applyFill="1" applyBorder="1" applyAlignment="1">
      <alignment/>
    </xf>
    <xf numFmtId="170" fontId="0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indent="2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0" fontId="83" fillId="0" borderId="0" xfId="0" applyNumberFormat="1" applyFont="1" applyBorder="1" applyAlignment="1">
      <alignment/>
    </xf>
    <xf numFmtId="0" fontId="5" fillId="0" borderId="41" xfId="0" applyFont="1" applyFill="1" applyBorder="1" applyAlignment="1">
      <alignment horizontal="left" indent="2"/>
    </xf>
    <xf numFmtId="170" fontId="5" fillId="0" borderId="41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0" fontId="1" fillId="0" borderId="13" xfId="0" applyNumberFormat="1" applyFont="1" applyFill="1" applyBorder="1" applyAlignment="1">
      <alignment/>
    </xf>
    <xf numFmtId="170" fontId="0" fillId="0" borderId="15" xfId="0" applyNumberFormat="1" applyFont="1" applyFill="1" applyBorder="1" applyAlignment="1">
      <alignment/>
    </xf>
    <xf numFmtId="170" fontId="0" fillId="0" borderId="18" xfId="0" applyNumberFormat="1" applyFont="1" applyFill="1" applyBorder="1" applyAlignment="1">
      <alignment/>
    </xf>
    <xf numFmtId="0" fontId="1" fillId="0" borderId="22" xfId="0" applyFont="1" applyFill="1" applyBorder="1" applyAlignment="1" quotePrefix="1">
      <alignment horizontal="center"/>
    </xf>
    <xf numFmtId="43" fontId="0" fillId="0" borderId="10" xfId="0" applyNumberFormat="1" applyFont="1" applyFill="1" applyBorder="1" applyAlignment="1">
      <alignment/>
    </xf>
    <xf numFmtId="170" fontId="1" fillId="0" borderId="11" xfId="0" applyNumberFormat="1" applyFont="1" applyFill="1" applyBorder="1" applyAlignment="1">
      <alignment/>
    </xf>
    <xf numFmtId="170" fontId="0" fillId="0" borderId="13" xfId="42" applyNumberFormat="1" applyFont="1" applyFill="1" applyBorder="1" applyAlignment="1">
      <alignment/>
    </xf>
    <xf numFmtId="43" fontId="5" fillId="0" borderId="32" xfId="44" applyFont="1" applyFill="1" applyBorder="1" applyAlignment="1">
      <alignment/>
    </xf>
    <xf numFmtId="0" fontId="5" fillId="0" borderId="32" xfId="0" applyFont="1" applyFill="1" applyBorder="1" applyAlignment="1">
      <alignment/>
    </xf>
    <xf numFmtId="170" fontId="19" fillId="0" borderId="33" xfId="0" applyNumberFormat="1" applyFont="1" applyFill="1" applyBorder="1" applyAlignment="1">
      <alignment/>
    </xf>
    <xf numFmtId="39" fontId="5" fillId="0" borderId="23" xfId="0" applyNumberFormat="1" applyFont="1" applyFill="1" applyBorder="1" applyAlignment="1">
      <alignment/>
    </xf>
    <xf numFmtId="39" fontId="5" fillId="0" borderId="0" xfId="0" applyNumberFormat="1" applyFont="1" applyFill="1" applyBorder="1" applyAlignment="1">
      <alignment/>
    </xf>
    <xf numFmtId="0" fontId="5" fillId="0" borderId="10" xfId="0" applyFont="1" applyFill="1" applyBorder="1" applyAlignment="1" quotePrefix="1">
      <alignment horizontal="center"/>
    </xf>
    <xf numFmtId="170" fontId="5" fillId="0" borderId="50" xfId="44" applyNumberFormat="1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170" fontId="5" fillId="0" borderId="23" xfId="44" applyNumberFormat="1" applyFont="1" applyFill="1" applyBorder="1" applyAlignment="1">
      <alignment/>
    </xf>
    <xf numFmtId="170" fontId="5" fillId="0" borderId="18" xfId="44" applyNumberFormat="1" applyFont="1" applyFill="1" applyBorder="1" applyAlignment="1">
      <alignment/>
    </xf>
    <xf numFmtId="170" fontId="19" fillId="0" borderId="34" xfId="0" applyNumberFormat="1" applyFont="1" applyFill="1" applyBorder="1" applyAlignment="1">
      <alignment/>
    </xf>
    <xf numFmtId="170" fontId="24" fillId="0" borderId="0" xfId="0" applyNumberFormat="1" applyFont="1" applyFill="1" applyBorder="1" applyAlignment="1">
      <alignment/>
    </xf>
    <xf numFmtId="170" fontId="89" fillId="0" borderId="34" xfId="0" applyNumberFormat="1" applyFont="1" applyBorder="1" applyAlignment="1">
      <alignment/>
    </xf>
    <xf numFmtId="0" fontId="0" fillId="0" borderId="30" xfId="0" applyFont="1" applyBorder="1" applyAlignment="1">
      <alignment/>
    </xf>
    <xf numFmtId="170" fontId="1" fillId="0" borderId="30" xfId="0" applyNumberFormat="1" applyFont="1" applyBorder="1" applyAlignment="1">
      <alignment/>
    </xf>
    <xf numFmtId="170" fontId="5" fillId="0" borderId="33" xfId="44" applyNumberFormat="1" applyFont="1" applyBorder="1" applyAlignment="1">
      <alignment/>
    </xf>
    <xf numFmtId="43" fontId="0" fillId="0" borderId="10" xfId="42" applyNumberFormat="1" applyFont="1" applyBorder="1" applyAlignment="1">
      <alignment/>
    </xf>
    <xf numFmtId="170" fontId="0" fillId="0" borderId="16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1" fillId="0" borderId="0" xfId="0" applyFont="1" applyFill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3" xfId="42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indent="3"/>
    </xf>
    <xf numFmtId="170" fontId="90" fillId="0" borderId="0" xfId="0" applyNumberFormat="1" applyFont="1" applyFill="1" applyBorder="1" applyAlignment="1">
      <alignment/>
    </xf>
    <xf numFmtId="0" fontId="1" fillId="0" borderId="51" xfId="0" applyFont="1" applyBorder="1" applyAlignment="1">
      <alignment/>
    </xf>
    <xf numFmtId="0" fontId="1" fillId="0" borderId="22" xfId="0" applyFont="1" applyBorder="1" applyAlignment="1">
      <alignment/>
    </xf>
    <xf numFmtId="170" fontId="1" fillId="0" borderId="22" xfId="0" applyNumberFormat="1" applyFont="1" applyBorder="1" applyAlignment="1">
      <alignment/>
    </xf>
    <xf numFmtId="0" fontId="0" fillId="0" borderId="52" xfId="0" applyFont="1" applyBorder="1" applyAlignment="1">
      <alignment/>
    </xf>
    <xf numFmtId="0" fontId="0" fillId="0" borderId="52" xfId="0" applyFont="1" applyBorder="1" applyAlignment="1">
      <alignment horizontal="left" indent="2"/>
    </xf>
    <xf numFmtId="170" fontId="0" fillId="0" borderId="52" xfId="0" applyNumberFormat="1" applyFont="1" applyBorder="1" applyAlignment="1">
      <alignment/>
    </xf>
    <xf numFmtId="170" fontId="1" fillId="0" borderId="14" xfId="0" applyNumberFormat="1" applyFont="1" applyBorder="1" applyAlignment="1">
      <alignment/>
    </xf>
    <xf numFmtId="0" fontId="0" fillId="33" borderId="10" xfId="0" applyFont="1" applyFill="1" applyBorder="1" applyAlignment="1">
      <alignment horizontal="left" indent="2"/>
    </xf>
    <xf numFmtId="170" fontId="89" fillId="0" borderId="0" xfId="0" applyNumberFormat="1" applyFont="1" applyFill="1" applyBorder="1" applyAlignment="1">
      <alignment/>
    </xf>
    <xf numFmtId="170" fontId="89" fillId="0" borderId="0" xfId="0" applyNumberFormat="1" applyFont="1" applyBorder="1" applyAlignment="1">
      <alignment/>
    </xf>
    <xf numFmtId="0" fontId="91" fillId="0" borderId="0" xfId="0" applyFont="1" applyAlignment="1">
      <alignment/>
    </xf>
    <xf numFmtId="0" fontId="23" fillId="33" borderId="0" xfId="0" applyFont="1" applyFill="1" applyBorder="1" applyAlignment="1">
      <alignment horizontal="left" indent="3"/>
    </xf>
    <xf numFmtId="170" fontId="1" fillId="33" borderId="0" xfId="0" applyNumberFormat="1" applyFont="1" applyFill="1" applyAlignment="1">
      <alignment/>
    </xf>
    <xf numFmtId="170" fontId="1" fillId="0" borderId="25" xfId="0" applyNumberFormat="1" applyFont="1" applyFill="1" applyBorder="1" applyAlignment="1">
      <alignment/>
    </xf>
    <xf numFmtId="170" fontId="80" fillId="0" borderId="25" xfId="0" applyNumberFormat="1" applyFont="1" applyFill="1" applyBorder="1" applyAlignment="1">
      <alignment/>
    </xf>
    <xf numFmtId="170" fontId="0" fillId="33" borderId="25" xfId="0" applyNumberFormat="1" applyFont="1" applyFill="1" applyBorder="1" applyAlignment="1">
      <alignment/>
    </xf>
    <xf numFmtId="0" fontId="92" fillId="0" borderId="0" xfId="0" applyFont="1" applyAlignment="1">
      <alignment/>
    </xf>
    <xf numFmtId="0" fontId="92" fillId="0" borderId="0" xfId="0" applyFont="1" applyAlignment="1">
      <alignment wrapText="1"/>
    </xf>
    <xf numFmtId="0" fontId="93" fillId="0" borderId="0" xfId="0" applyFont="1" applyAlignment="1">
      <alignment horizontal="left" vertical="center"/>
    </xf>
    <xf numFmtId="0" fontId="93" fillId="0" borderId="0" xfId="0" applyFont="1" applyAlignment="1">
      <alignment vertical="center" wrapText="1"/>
    </xf>
    <xf numFmtId="0" fontId="93" fillId="0" borderId="0" xfId="0" applyFont="1" applyAlignment="1">
      <alignment vertical="center"/>
    </xf>
    <xf numFmtId="170" fontId="94" fillId="33" borderId="32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95" fillId="0" borderId="0" xfId="0" applyFont="1" applyBorder="1" applyAlignment="1">
      <alignment horizontal="left" vertical="top" wrapText="1"/>
    </xf>
    <xf numFmtId="0" fontId="78" fillId="0" borderId="0" xfId="0" applyFont="1" applyAlignment="1">
      <alignment horizontal="center"/>
    </xf>
    <xf numFmtId="43" fontId="0" fillId="0" borderId="64" xfId="42" applyFont="1" applyBorder="1" applyAlignment="1">
      <alignment horizontal="left"/>
    </xf>
    <xf numFmtId="43" fontId="0" fillId="0" borderId="65" xfId="42" applyFont="1" applyBorder="1" applyAlignment="1">
      <alignment horizontal="left"/>
    </xf>
    <xf numFmtId="43" fontId="0" fillId="0" borderId="66" xfId="42" applyFont="1" applyBorder="1" applyAlignment="1">
      <alignment horizontal="left"/>
    </xf>
    <xf numFmtId="43" fontId="0" fillId="0" borderId="64" xfId="42" applyFont="1" applyBorder="1" applyAlignment="1">
      <alignment horizontal="center"/>
    </xf>
    <xf numFmtId="43" fontId="0" fillId="0" borderId="65" xfId="42" applyFont="1" applyBorder="1" applyAlignment="1">
      <alignment horizontal="center"/>
    </xf>
    <xf numFmtId="43" fontId="0" fillId="0" borderId="66" xfId="42" applyFont="1" applyBorder="1" applyAlignment="1">
      <alignment horizontal="center"/>
    </xf>
    <xf numFmtId="43" fontId="0" fillId="0" borderId="64" xfId="0" applyNumberForma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Worksheet%20BY%202023-Revis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rd Tranche"/>
      <sheetName val="2022"/>
      <sheetName val="step"/>
      <sheetName val="Sheet2"/>
      <sheetName val="4th Tranche"/>
      <sheetName val="Sheet3"/>
    </sheetNames>
    <sheetDataSet>
      <sheetData sheetId="5">
        <row r="44">
          <cell r="B44">
            <v>764989.174813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916"/>
  <sheetViews>
    <sheetView zoomScale="112" zoomScaleNormal="112" workbookViewId="0" topLeftCell="A74">
      <selection activeCell="G735" sqref="G735"/>
    </sheetView>
  </sheetViews>
  <sheetFormatPr defaultColWidth="9.140625" defaultRowHeight="12.75"/>
  <cols>
    <col min="1" max="1" width="52.8515625" style="1" customWidth="1"/>
    <col min="2" max="2" width="13.28125" style="1" customWidth="1"/>
    <col min="3" max="3" width="18.140625" style="1" customWidth="1"/>
    <col min="4" max="4" width="15.8515625" style="1" customWidth="1"/>
    <col min="5" max="5" width="17.57421875" style="1" customWidth="1"/>
    <col min="6" max="6" width="16.57421875" style="1" customWidth="1"/>
    <col min="7" max="7" width="17.57421875" style="1" customWidth="1"/>
    <col min="8" max="8" width="20.421875" style="1" customWidth="1"/>
    <col min="9" max="9" width="15.28125" style="1" customWidth="1"/>
    <col min="10" max="11" width="15.57421875" style="1" customWidth="1"/>
    <col min="12" max="12" width="16.140625" style="1" customWidth="1"/>
    <col min="13" max="13" width="16.57421875" style="1" customWidth="1"/>
    <col min="14" max="14" width="14.140625" style="1" customWidth="1"/>
    <col min="15" max="16384" width="9.140625" style="1" customWidth="1"/>
  </cols>
  <sheetData>
    <row r="1" spans="1:8" ht="12.75">
      <c r="A1" s="467" t="s">
        <v>384</v>
      </c>
      <c r="B1" s="468"/>
      <c r="C1" s="468"/>
      <c r="D1" s="468"/>
      <c r="E1" s="2"/>
      <c r="F1" s="2"/>
      <c r="G1" s="2"/>
      <c r="H1" s="2"/>
    </row>
    <row r="2" spans="1:8" ht="12.75">
      <c r="A2" s="467" t="s">
        <v>385</v>
      </c>
      <c r="B2" s="468"/>
      <c r="C2" s="468"/>
      <c r="D2" s="468"/>
      <c r="E2" s="2"/>
      <c r="F2" s="2"/>
      <c r="G2" s="2"/>
      <c r="H2" s="2"/>
    </row>
    <row r="3" spans="1:8" ht="12.75">
      <c r="A3" s="469" t="s">
        <v>386</v>
      </c>
      <c r="B3" s="470"/>
      <c r="C3" s="470"/>
      <c r="D3" s="470"/>
      <c r="E3" s="2"/>
      <c r="F3" s="2"/>
      <c r="G3" s="2"/>
      <c r="H3" s="2"/>
    </row>
    <row r="4" spans="1:8" ht="12.75">
      <c r="A4" s="471" t="s">
        <v>387</v>
      </c>
      <c r="B4" s="470"/>
      <c r="C4" s="470"/>
      <c r="D4" s="470"/>
      <c r="E4" s="2"/>
      <c r="F4" s="2"/>
      <c r="G4" s="2"/>
      <c r="H4" s="2"/>
    </row>
    <row r="5" spans="1:8" ht="12.75" customHeight="1">
      <c r="A5" s="2"/>
      <c r="B5" s="2"/>
      <c r="C5" s="2"/>
      <c r="D5" s="2"/>
      <c r="E5" s="2"/>
      <c r="F5" s="2"/>
      <c r="G5" s="2"/>
      <c r="H5" s="2"/>
    </row>
    <row r="6" spans="1:8" ht="13.5" customHeight="1">
      <c r="A6" s="474" t="s">
        <v>165</v>
      </c>
      <c r="B6" s="474"/>
      <c r="C6" s="474"/>
      <c r="D6" s="474"/>
      <c r="E6" s="474"/>
      <c r="F6" s="474"/>
      <c r="G6" s="474"/>
      <c r="H6" s="53"/>
    </row>
    <row r="7" spans="1:8" ht="12" customHeight="1">
      <c r="A7" s="474" t="s">
        <v>172</v>
      </c>
      <c r="B7" s="474"/>
      <c r="C7" s="474"/>
      <c r="D7" s="474"/>
      <c r="E7" s="474"/>
      <c r="F7" s="474"/>
      <c r="G7" s="474"/>
      <c r="H7" s="2"/>
    </row>
    <row r="8" spans="1:8" ht="12.75">
      <c r="A8" s="54"/>
      <c r="B8" s="54"/>
      <c r="C8" s="54"/>
      <c r="D8" s="54"/>
      <c r="E8" s="54"/>
      <c r="F8" s="54"/>
      <c r="G8" s="54"/>
      <c r="H8" s="2"/>
    </row>
    <row r="9" spans="1:8" ht="12.75">
      <c r="A9" s="54"/>
      <c r="B9" s="54"/>
      <c r="C9" s="54"/>
      <c r="D9" s="54"/>
      <c r="E9" s="54"/>
      <c r="F9" s="54"/>
      <c r="G9" s="54"/>
      <c r="H9" s="2"/>
    </row>
    <row r="10" spans="1:8" ht="12.75">
      <c r="A10" s="21" t="s">
        <v>52</v>
      </c>
      <c r="B10" s="21" t="s">
        <v>187</v>
      </c>
      <c r="C10" s="21"/>
      <c r="D10" s="21"/>
      <c r="E10" s="21"/>
      <c r="F10" s="2"/>
      <c r="G10" s="2"/>
      <c r="H10" s="2"/>
    </row>
    <row r="11" spans="1:8" ht="12.75">
      <c r="A11" s="2"/>
      <c r="B11" s="2"/>
      <c r="C11" s="2"/>
      <c r="D11" s="2"/>
      <c r="E11" s="2"/>
      <c r="F11" s="2"/>
      <c r="G11" s="2"/>
      <c r="H11" s="2"/>
    </row>
    <row r="12" spans="1:8" ht="12.75">
      <c r="A12" s="23"/>
      <c r="B12" s="23"/>
      <c r="C12" s="492" t="s">
        <v>79</v>
      </c>
      <c r="D12" s="479" t="s">
        <v>166</v>
      </c>
      <c r="E12" s="480"/>
      <c r="F12" s="480"/>
      <c r="G12" s="482" t="s">
        <v>73</v>
      </c>
      <c r="H12" s="154"/>
    </row>
    <row r="13" spans="1:8" ht="12.75">
      <c r="A13" s="24" t="s">
        <v>167</v>
      </c>
      <c r="B13" s="304" t="s">
        <v>241</v>
      </c>
      <c r="C13" s="493"/>
      <c r="D13" s="24" t="s">
        <v>168</v>
      </c>
      <c r="E13" s="24" t="s">
        <v>169</v>
      </c>
      <c r="F13" s="494" t="s">
        <v>23</v>
      </c>
      <c r="G13" s="483"/>
      <c r="H13" s="154"/>
    </row>
    <row r="14" spans="1:13" ht="12.75">
      <c r="A14" s="24"/>
      <c r="B14" s="24"/>
      <c r="C14" s="24" t="s">
        <v>53</v>
      </c>
      <c r="D14" s="24" t="s">
        <v>53</v>
      </c>
      <c r="E14" s="156" t="s">
        <v>86</v>
      </c>
      <c r="F14" s="495"/>
      <c r="G14" s="3" t="s">
        <v>54</v>
      </c>
      <c r="H14" s="218"/>
      <c r="I14" s="218"/>
      <c r="J14" s="218"/>
      <c r="K14" s="218"/>
      <c r="L14" s="218"/>
      <c r="M14" s="218"/>
    </row>
    <row r="15" spans="1:8" ht="12.75">
      <c r="A15" s="46">
        <v>1</v>
      </c>
      <c r="B15" s="46">
        <v>2</v>
      </c>
      <c r="C15" s="46">
        <v>3</v>
      </c>
      <c r="D15" s="90">
        <v>4</v>
      </c>
      <c r="E15" s="90">
        <v>5</v>
      </c>
      <c r="F15" s="90">
        <v>6</v>
      </c>
      <c r="G15" s="91">
        <v>7</v>
      </c>
      <c r="H15" s="2"/>
    </row>
    <row r="16" spans="1:8" ht="12.75">
      <c r="A16" s="5"/>
      <c r="B16" s="5"/>
      <c r="C16" s="5"/>
      <c r="D16" s="116"/>
      <c r="E16" s="116"/>
      <c r="F16" s="116"/>
      <c r="G16" s="5"/>
      <c r="H16" s="2"/>
    </row>
    <row r="17" spans="1:8" ht="12.75">
      <c r="A17" s="42" t="s">
        <v>43</v>
      </c>
      <c r="B17" s="5"/>
      <c r="C17" s="5"/>
      <c r="D17" s="5"/>
      <c r="E17" s="5"/>
      <c r="F17" s="5"/>
      <c r="G17" s="6"/>
      <c r="H17" s="2"/>
    </row>
    <row r="18" spans="1:8" ht="12.75">
      <c r="A18" s="29" t="s">
        <v>223</v>
      </c>
      <c r="B18" s="157" t="s">
        <v>113</v>
      </c>
      <c r="C18" s="60">
        <v>4737096</v>
      </c>
      <c r="D18" s="191">
        <v>2316065</v>
      </c>
      <c r="E18" s="150">
        <f>F18-D18</f>
        <v>2817895</v>
      </c>
      <c r="F18" s="60">
        <v>5133960</v>
      </c>
      <c r="G18" s="60">
        <v>5303904</v>
      </c>
      <c r="H18" s="164"/>
    </row>
    <row r="19" spans="1:8" ht="12.75">
      <c r="A19" s="29" t="s">
        <v>224</v>
      </c>
      <c r="B19" s="157" t="s">
        <v>114</v>
      </c>
      <c r="C19" s="60">
        <v>434816.83</v>
      </c>
      <c r="D19" s="191">
        <v>204000</v>
      </c>
      <c r="E19" s="150">
        <f aca="true" t="shared" si="0" ref="E19:E32">F19-D19</f>
        <v>276000</v>
      </c>
      <c r="F19" s="60">
        <v>480000</v>
      </c>
      <c r="G19" s="60">
        <v>480000</v>
      </c>
      <c r="H19" s="164"/>
    </row>
    <row r="20" spans="1:8" ht="12.75">
      <c r="A20" s="29" t="s">
        <v>42</v>
      </c>
      <c r="B20" s="157" t="s">
        <v>115</v>
      </c>
      <c r="C20" s="60">
        <f>91800</f>
        <v>91800</v>
      </c>
      <c r="D20" s="191">
        <v>45900</v>
      </c>
      <c r="E20" s="150">
        <f t="shared" si="0"/>
        <v>45900</v>
      </c>
      <c r="F20" s="60">
        <f>91800</f>
        <v>91800</v>
      </c>
      <c r="G20" s="60">
        <f>91800</f>
        <v>91800</v>
      </c>
      <c r="H20" s="164"/>
    </row>
    <row r="21" spans="1:8" ht="12.75">
      <c r="A21" s="29" t="s">
        <v>3</v>
      </c>
      <c r="B21" s="157" t="s">
        <v>159</v>
      </c>
      <c r="C21" s="60">
        <v>0</v>
      </c>
      <c r="D21" s="191">
        <v>0</v>
      </c>
      <c r="E21" s="150">
        <f>F21-D21</f>
        <v>0</v>
      </c>
      <c r="F21" s="60">
        <v>0</v>
      </c>
      <c r="G21" s="60">
        <v>0</v>
      </c>
      <c r="H21" s="164"/>
    </row>
    <row r="22" spans="1:8" ht="12.75">
      <c r="A22" s="29" t="s">
        <v>18</v>
      </c>
      <c r="B22" s="157" t="s">
        <v>116</v>
      </c>
      <c r="C22" s="60">
        <v>114000</v>
      </c>
      <c r="D22" s="191">
        <v>96000</v>
      </c>
      <c r="E22" s="150">
        <f t="shared" si="0"/>
        <v>24000</v>
      </c>
      <c r="F22" s="60">
        <v>120000</v>
      </c>
      <c r="G22" s="60">
        <v>120000</v>
      </c>
      <c r="H22" s="164"/>
    </row>
    <row r="23" spans="1:8" ht="12.75">
      <c r="A23" s="41" t="s">
        <v>175</v>
      </c>
      <c r="B23" s="157" t="s">
        <v>176</v>
      </c>
      <c r="C23" s="64">
        <v>85000</v>
      </c>
      <c r="D23" s="152">
        <v>0</v>
      </c>
      <c r="E23" s="150">
        <f t="shared" si="0"/>
        <v>100000</v>
      </c>
      <c r="F23" s="64">
        <v>100000</v>
      </c>
      <c r="G23" s="64">
        <v>100000</v>
      </c>
      <c r="H23" s="164"/>
    </row>
    <row r="24" spans="1:8" ht="12.75">
      <c r="A24" s="29" t="s">
        <v>27</v>
      </c>
      <c r="B24" s="157" t="s">
        <v>117</v>
      </c>
      <c r="C24" s="60">
        <v>95000</v>
      </c>
      <c r="D24" s="150">
        <v>0</v>
      </c>
      <c r="E24" s="150">
        <f t="shared" si="0"/>
        <v>100000</v>
      </c>
      <c r="F24" s="64">
        <v>100000</v>
      </c>
      <c r="G24" s="64">
        <v>100000</v>
      </c>
      <c r="H24" s="164"/>
    </row>
    <row r="25" spans="1:8" ht="12.75">
      <c r="A25" s="29" t="s">
        <v>96</v>
      </c>
      <c r="B25" s="157" t="s">
        <v>118</v>
      </c>
      <c r="C25" s="60">
        <v>384758</v>
      </c>
      <c r="D25" s="443">
        <v>0</v>
      </c>
      <c r="E25" s="150">
        <f t="shared" si="0"/>
        <v>427830</v>
      </c>
      <c r="F25" s="60">
        <f>F18/12</f>
        <v>427830</v>
      </c>
      <c r="G25" s="60">
        <f>G18/12</f>
        <v>441992</v>
      </c>
      <c r="H25" s="164"/>
    </row>
    <row r="26" spans="1:8" ht="12.75">
      <c r="A26" s="41" t="s">
        <v>173</v>
      </c>
      <c r="B26" s="157" t="s">
        <v>174</v>
      </c>
      <c r="C26" s="60">
        <v>393162</v>
      </c>
      <c r="D26" s="77">
        <v>410060</v>
      </c>
      <c r="E26" s="150">
        <f t="shared" si="0"/>
        <v>17770</v>
      </c>
      <c r="F26" s="60">
        <f>F25</f>
        <v>427830</v>
      </c>
      <c r="G26" s="60">
        <f>G25</f>
        <v>441992</v>
      </c>
      <c r="H26" s="164"/>
    </row>
    <row r="27" spans="1:8" ht="12.75">
      <c r="A27" s="41" t="s">
        <v>232</v>
      </c>
      <c r="B27" s="157" t="s">
        <v>119</v>
      </c>
      <c r="C27" s="60">
        <v>556770.21</v>
      </c>
      <c r="D27" s="343">
        <v>277927.8</v>
      </c>
      <c r="E27" s="150">
        <f t="shared" si="0"/>
        <v>338147.39999999997</v>
      </c>
      <c r="F27" s="60">
        <f>F18*12%</f>
        <v>616075.2</v>
      </c>
      <c r="G27" s="60">
        <v>636468.48</v>
      </c>
      <c r="H27" s="164"/>
    </row>
    <row r="28" spans="1:8" ht="12.75">
      <c r="A28" s="131" t="s">
        <v>46</v>
      </c>
      <c r="B28" s="157" t="s">
        <v>120</v>
      </c>
      <c r="C28" s="60">
        <v>21286.55</v>
      </c>
      <c r="D28" s="343">
        <v>10200</v>
      </c>
      <c r="E28" s="150">
        <f t="shared" si="0"/>
        <v>13800</v>
      </c>
      <c r="F28" s="60">
        <v>24000</v>
      </c>
      <c r="G28" s="60">
        <v>24000</v>
      </c>
      <c r="H28" s="164"/>
    </row>
    <row r="29" spans="1:8" ht="12.75">
      <c r="A29" s="29" t="s">
        <v>70</v>
      </c>
      <c r="B29" s="157" t="s">
        <v>121</v>
      </c>
      <c r="C29" s="60">
        <v>56955.2</v>
      </c>
      <c r="D29" s="343">
        <v>32329.69</v>
      </c>
      <c r="E29" s="150">
        <f t="shared" si="0"/>
        <v>62431.67</v>
      </c>
      <c r="F29" s="60">
        <v>94761.36</v>
      </c>
      <c r="G29" s="60">
        <v>112554.36</v>
      </c>
      <c r="H29" s="164"/>
    </row>
    <row r="30" spans="1:8" ht="12.75">
      <c r="A30" s="29" t="s">
        <v>122</v>
      </c>
      <c r="B30" s="157" t="s">
        <v>123</v>
      </c>
      <c r="C30" s="60">
        <v>20900</v>
      </c>
      <c r="D30" s="343">
        <v>10200</v>
      </c>
      <c r="E30" s="150">
        <f t="shared" si="0"/>
        <v>13800</v>
      </c>
      <c r="F30" s="60">
        <v>24000</v>
      </c>
      <c r="G30" s="60">
        <v>24000</v>
      </c>
      <c r="H30" s="164"/>
    </row>
    <row r="31" spans="1:8" ht="12.75">
      <c r="A31" s="29" t="s">
        <v>68</v>
      </c>
      <c r="B31" s="157" t="s">
        <v>124</v>
      </c>
      <c r="C31" s="60">
        <v>0</v>
      </c>
      <c r="D31" s="343">
        <v>0</v>
      </c>
      <c r="E31" s="150">
        <f t="shared" si="0"/>
        <v>402189.24</v>
      </c>
      <c r="F31" s="60">
        <f>739999.14-178452-159357.9</f>
        <v>402189.24</v>
      </c>
      <c r="G31" s="60">
        <v>0</v>
      </c>
      <c r="H31" s="164"/>
    </row>
    <row r="32" spans="1:9" ht="12.75">
      <c r="A32" s="29" t="s">
        <v>99</v>
      </c>
      <c r="B32" s="157" t="s">
        <v>125</v>
      </c>
      <c r="C32" s="60">
        <v>165465.28</v>
      </c>
      <c r="D32" s="343">
        <v>142579.07</v>
      </c>
      <c r="E32" s="150">
        <f t="shared" si="0"/>
        <v>63603.75999999998</v>
      </c>
      <c r="F32" s="60">
        <v>206182.83</v>
      </c>
      <c r="G32" s="60">
        <v>213007.88</v>
      </c>
      <c r="H32" s="164"/>
      <c r="I32" s="20"/>
    </row>
    <row r="33" spans="1:9" ht="12.75">
      <c r="A33" s="29"/>
      <c r="B33" s="62"/>
      <c r="C33" s="150"/>
      <c r="D33" s="207"/>
      <c r="E33" s="150"/>
      <c r="F33" s="150"/>
      <c r="G33" s="60"/>
      <c r="H33" s="164"/>
      <c r="I33" s="20"/>
    </row>
    <row r="34" spans="1:11" ht="12.75">
      <c r="A34" s="30" t="s">
        <v>193</v>
      </c>
      <c r="B34" s="153"/>
      <c r="C34" s="31">
        <f>SUM(C18:C32)</f>
        <v>7157010.07</v>
      </c>
      <c r="D34" s="31">
        <f>SUM(D18:D32)</f>
        <v>3545261.5599999996</v>
      </c>
      <c r="E34" s="31">
        <f>SUM(E18:E32)</f>
        <v>4703367.07</v>
      </c>
      <c r="F34" s="31">
        <f>SUM(F18:F32)</f>
        <v>8248628.630000001</v>
      </c>
      <c r="G34" s="419">
        <f>SUM(G18:G32)</f>
        <v>8089718.720000001</v>
      </c>
      <c r="H34" s="108"/>
      <c r="I34" s="16"/>
      <c r="J34" s="14"/>
      <c r="K34" s="14"/>
    </row>
    <row r="35" spans="1:8" ht="12" customHeight="1">
      <c r="A35" s="27"/>
      <c r="B35" s="153"/>
      <c r="C35" s="31"/>
      <c r="D35" s="31"/>
      <c r="E35" s="31"/>
      <c r="F35" s="31"/>
      <c r="G35" s="31"/>
      <c r="H35" s="16"/>
    </row>
    <row r="36" spans="1:8" ht="10.5" customHeight="1">
      <c r="A36" s="195"/>
      <c r="B36" s="439"/>
      <c r="C36" s="440"/>
      <c r="D36" s="440"/>
      <c r="E36" s="440"/>
      <c r="F36" s="440"/>
      <c r="G36" s="440"/>
      <c r="H36" s="16"/>
    </row>
    <row r="37" spans="1:8" ht="10.5" customHeight="1">
      <c r="A37" s="2"/>
      <c r="B37" s="186"/>
      <c r="C37" s="16"/>
      <c r="D37" s="16"/>
      <c r="E37" s="16"/>
      <c r="F37" s="16"/>
      <c r="G37" s="16"/>
      <c r="H37" s="16"/>
    </row>
    <row r="38" spans="1:8" ht="14.25" customHeight="1">
      <c r="A38" s="2"/>
      <c r="B38" s="186"/>
      <c r="C38" s="16"/>
      <c r="D38" s="16"/>
      <c r="E38" s="16"/>
      <c r="F38" s="16"/>
      <c r="G38" s="16"/>
      <c r="H38" s="16"/>
    </row>
    <row r="39" spans="1:8" ht="14.25" customHeight="1">
      <c r="A39" s="2"/>
      <c r="B39" s="186"/>
      <c r="C39" s="16"/>
      <c r="D39" s="16"/>
      <c r="E39" s="16"/>
      <c r="F39" s="16"/>
      <c r="G39" s="16"/>
      <c r="H39" s="16"/>
    </row>
    <row r="40" spans="1:8" ht="8.25" customHeight="1">
      <c r="A40" s="187"/>
      <c r="B40" s="188"/>
      <c r="C40" s="189"/>
      <c r="D40" s="189"/>
      <c r="E40" s="189"/>
      <c r="F40" s="189"/>
      <c r="G40" s="189"/>
      <c r="H40" s="16"/>
    </row>
    <row r="41" spans="1:8" ht="10.5" customHeight="1">
      <c r="A41" s="24"/>
      <c r="B41" s="24"/>
      <c r="C41" s="493" t="s">
        <v>79</v>
      </c>
      <c r="D41" s="489" t="s">
        <v>166</v>
      </c>
      <c r="E41" s="490"/>
      <c r="F41" s="490"/>
      <c r="G41" s="483" t="s">
        <v>73</v>
      </c>
      <c r="H41" s="16"/>
    </row>
    <row r="42" spans="1:8" ht="12" customHeight="1">
      <c r="A42" s="24" t="s">
        <v>167</v>
      </c>
      <c r="B42" s="304" t="s">
        <v>241</v>
      </c>
      <c r="C42" s="493"/>
      <c r="D42" s="24" t="s">
        <v>168</v>
      </c>
      <c r="E42" s="24" t="s">
        <v>169</v>
      </c>
      <c r="F42" s="494" t="s">
        <v>23</v>
      </c>
      <c r="G42" s="483"/>
      <c r="H42" s="16"/>
    </row>
    <row r="43" spans="1:8" ht="12" customHeight="1">
      <c r="A43" s="24"/>
      <c r="B43" s="24"/>
      <c r="C43" s="24" t="s">
        <v>53</v>
      </c>
      <c r="D43" s="24" t="s">
        <v>53</v>
      </c>
      <c r="E43" s="156" t="s">
        <v>86</v>
      </c>
      <c r="F43" s="495"/>
      <c r="G43" s="3" t="s">
        <v>54</v>
      </c>
      <c r="H43" s="16"/>
    </row>
    <row r="44" spans="1:8" ht="9.75" customHeight="1">
      <c r="A44" s="46">
        <v>1</v>
      </c>
      <c r="B44" s="46">
        <v>2</v>
      </c>
      <c r="C44" s="46">
        <v>3</v>
      </c>
      <c r="D44" s="90">
        <v>4</v>
      </c>
      <c r="E44" s="90">
        <v>5</v>
      </c>
      <c r="F44" s="90">
        <v>6</v>
      </c>
      <c r="G44" s="91">
        <v>7</v>
      </c>
      <c r="H44" s="16"/>
    </row>
    <row r="45" spans="1:11" ht="11.25" customHeight="1">
      <c r="A45" s="61" t="s">
        <v>188</v>
      </c>
      <c r="B45" s="153"/>
      <c r="C45" s="88"/>
      <c r="D45" s="88"/>
      <c r="E45" s="88"/>
      <c r="F45" s="148"/>
      <c r="G45" s="148"/>
      <c r="H45" s="59"/>
      <c r="I45" s="142"/>
      <c r="J45" s="14"/>
      <c r="K45" s="14"/>
    </row>
    <row r="46" spans="1:8" ht="12.75">
      <c r="A46" s="29" t="s">
        <v>191</v>
      </c>
      <c r="B46" s="62" t="s">
        <v>126</v>
      </c>
      <c r="C46" s="88">
        <v>350000</v>
      </c>
      <c r="D46" s="49">
        <v>89191.76</v>
      </c>
      <c r="E46" s="88">
        <f>F46-D46</f>
        <v>310808.24</v>
      </c>
      <c r="F46" s="88">
        <f>350000+50000</f>
        <v>400000</v>
      </c>
      <c r="G46" s="88">
        <v>400000</v>
      </c>
      <c r="H46" s="59"/>
    </row>
    <row r="47" spans="1:8" ht="12.75">
      <c r="A47" s="29" t="s">
        <v>19</v>
      </c>
      <c r="B47" s="62" t="s">
        <v>127</v>
      </c>
      <c r="C47" s="88">
        <v>183800.88</v>
      </c>
      <c r="D47" s="49">
        <v>28000</v>
      </c>
      <c r="E47" s="88">
        <f aca="true" t="shared" si="1" ref="E47:E79">F47-D47</f>
        <v>172000</v>
      </c>
      <c r="F47" s="88">
        <f>200000</f>
        <v>200000</v>
      </c>
      <c r="G47" s="88">
        <f>200000</f>
        <v>200000</v>
      </c>
      <c r="H47" s="59"/>
    </row>
    <row r="48" spans="1:8" ht="12.75">
      <c r="A48" s="29" t="s">
        <v>250</v>
      </c>
      <c r="B48" s="62" t="s">
        <v>245</v>
      </c>
      <c r="C48" s="122">
        <v>2500000</v>
      </c>
      <c r="D48" s="49">
        <v>2147000</v>
      </c>
      <c r="E48" s="88">
        <f t="shared" si="1"/>
        <v>353000</v>
      </c>
      <c r="F48" s="121">
        <v>2500000</v>
      </c>
      <c r="G48" s="121">
        <v>2885000</v>
      </c>
      <c r="H48" s="59"/>
    </row>
    <row r="49" spans="1:8" ht="12.75">
      <c r="A49" s="29" t="s">
        <v>2</v>
      </c>
      <c r="B49" s="62" t="s">
        <v>128</v>
      </c>
      <c r="C49" s="88">
        <v>310000</v>
      </c>
      <c r="D49" s="302">
        <v>15455.4</v>
      </c>
      <c r="E49" s="88">
        <f t="shared" si="1"/>
        <v>344544.6</v>
      </c>
      <c r="F49" s="88">
        <f>310000+50000</f>
        <v>360000</v>
      </c>
      <c r="G49" s="88">
        <v>360000</v>
      </c>
      <c r="H49" s="59"/>
    </row>
    <row r="50" spans="1:8" ht="12.75">
      <c r="A50" s="131" t="s">
        <v>283</v>
      </c>
      <c r="B50" s="62" t="s">
        <v>219</v>
      </c>
      <c r="C50" s="88">
        <v>1882529.38</v>
      </c>
      <c r="D50" s="302">
        <v>745032</v>
      </c>
      <c r="E50" s="88">
        <f t="shared" si="1"/>
        <v>1204968</v>
      </c>
      <c r="F50" s="121">
        <f>1200000+300000+334320+65680+50000</f>
        <v>1950000</v>
      </c>
      <c r="G50" s="121">
        <v>1800000</v>
      </c>
      <c r="H50" s="59"/>
    </row>
    <row r="51" spans="1:8" ht="12.75">
      <c r="A51" s="131" t="s">
        <v>355</v>
      </c>
      <c r="B51" s="62" t="s">
        <v>314</v>
      </c>
      <c r="C51" s="88">
        <v>0</v>
      </c>
      <c r="D51" s="302">
        <v>0</v>
      </c>
      <c r="E51" s="88">
        <f t="shared" si="1"/>
        <v>340000</v>
      </c>
      <c r="F51" s="121">
        <v>340000</v>
      </c>
      <c r="G51" s="121">
        <v>0</v>
      </c>
      <c r="H51" s="59"/>
    </row>
    <row r="52" spans="1:8" ht="12.75">
      <c r="A52" s="29" t="s">
        <v>94</v>
      </c>
      <c r="B52" s="62" t="s">
        <v>129</v>
      </c>
      <c r="C52" s="88">
        <v>589540</v>
      </c>
      <c r="D52" s="49">
        <v>0</v>
      </c>
      <c r="E52" s="88">
        <f t="shared" si="1"/>
        <v>1000000</v>
      </c>
      <c r="F52" s="121">
        <v>1000000</v>
      </c>
      <c r="G52" s="121">
        <v>600000</v>
      </c>
      <c r="H52" s="59"/>
    </row>
    <row r="53" spans="1:8" ht="12.75">
      <c r="A53" s="29" t="s">
        <v>201</v>
      </c>
      <c r="B53" s="62" t="s">
        <v>130</v>
      </c>
      <c r="C53" s="88">
        <v>2473875.93</v>
      </c>
      <c r="D53" s="49">
        <v>2788344.35</v>
      </c>
      <c r="E53" s="88">
        <f>F53-D53</f>
        <v>2011655.65</v>
      </c>
      <c r="F53" s="121">
        <v>4800000</v>
      </c>
      <c r="G53" s="121">
        <v>4600000</v>
      </c>
      <c r="H53" s="59"/>
    </row>
    <row r="54" spans="1:8" ht="12.75">
      <c r="A54" s="67" t="s">
        <v>381</v>
      </c>
      <c r="B54" s="62" t="s">
        <v>287</v>
      </c>
      <c r="C54" s="88">
        <v>0</v>
      </c>
      <c r="D54" s="49">
        <v>0</v>
      </c>
      <c r="E54" s="88">
        <f t="shared" si="1"/>
        <v>200000</v>
      </c>
      <c r="F54" s="121">
        <v>200000</v>
      </c>
      <c r="G54" s="121">
        <v>0</v>
      </c>
      <c r="H54" s="59"/>
    </row>
    <row r="55" spans="1:8" ht="12.75">
      <c r="A55" s="29" t="s">
        <v>63</v>
      </c>
      <c r="B55" s="62" t="s">
        <v>131</v>
      </c>
      <c r="C55" s="88">
        <v>13700</v>
      </c>
      <c r="D55" s="49">
        <v>0</v>
      </c>
      <c r="E55" s="88">
        <f t="shared" si="1"/>
        <v>20000</v>
      </c>
      <c r="F55" s="88">
        <v>20000</v>
      </c>
      <c r="G55" s="88">
        <v>20000</v>
      </c>
      <c r="H55" s="59"/>
    </row>
    <row r="56" spans="1:8" ht="12.75">
      <c r="A56" s="29" t="s">
        <v>101</v>
      </c>
      <c r="B56" s="62" t="s">
        <v>132</v>
      </c>
      <c r="C56" s="88">
        <v>3020000</v>
      </c>
      <c r="D56" s="49">
        <v>2032855.43</v>
      </c>
      <c r="E56" s="88">
        <f t="shared" si="1"/>
        <v>1755730.45</v>
      </c>
      <c r="F56" s="121">
        <v>3788585.88</v>
      </c>
      <c r="G56" s="121">
        <v>3788585.88</v>
      </c>
      <c r="H56" s="59"/>
    </row>
    <row r="57" spans="1:8" ht="12.75">
      <c r="A57" s="29" t="s">
        <v>227</v>
      </c>
      <c r="B57" s="62" t="s">
        <v>135</v>
      </c>
      <c r="C57" s="122">
        <v>662818</v>
      </c>
      <c r="D57" s="302">
        <v>338135.38</v>
      </c>
      <c r="E57" s="88">
        <f t="shared" si="1"/>
        <v>405864.62</v>
      </c>
      <c r="F57" s="121">
        <f>564000+180000</f>
        <v>744000</v>
      </c>
      <c r="G57" s="121">
        <v>744000</v>
      </c>
      <c r="H57" s="138"/>
    </row>
    <row r="58" spans="1:9" ht="12.75">
      <c r="A58" s="29" t="s">
        <v>296</v>
      </c>
      <c r="B58" s="62" t="s">
        <v>136</v>
      </c>
      <c r="C58" s="88">
        <v>72000</v>
      </c>
      <c r="D58" s="49">
        <v>48000</v>
      </c>
      <c r="E58" s="88">
        <f t="shared" si="1"/>
        <v>48000</v>
      </c>
      <c r="F58" s="121">
        <v>96000</v>
      </c>
      <c r="G58" s="121">
        <v>96000</v>
      </c>
      <c r="H58" s="59"/>
      <c r="I58" s="14"/>
    </row>
    <row r="59" spans="1:9" ht="12" customHeight="1">
      <c r="A59" s="29" t="s">
        <v>81</v>
      </c>
      <c r="B59" s="62" t="s">
        <v>137</v>
      </c>
      <c r="C59" s="88">
        <v>50000</v>
      </c>
      <c r="D59" s="49">
        <v>0</v>
      </c>
      <c r="E59" s="88">
        <f t="shared" si="1"/>
        <v>50000</v>
      </c>
      <c r="F59" s="88">
        <v>50000</v>
      </c>
      <c r="G59" s="88">
        <v>50000</v>
      </c>
      <c r="H59" s="59"/>
      <c r="I59" s="14"/>
    </row>
    <row r="60" spans="1:9" ht="12" customHeight="1">
      <c r="A60" s="29" t="s">
        <v>284</v>
      </c>
      <c r="B60" s="62" t="s">
        <v>300</v>
      </c>
      <c r="C60" s="6">
        <v>98000</v>
      </c>
      <c r="D60" s="49">
        <v>0</v>
      </c>
      <c r="E60" s="88">
        <f t="shared" si="1"/>
        <v>100000</v>
      </c>
      <c r="F60" s="6">
        <f>40000+10000+50000</f>
        <v>100000</v>
      </c>
      <c r="G60" s="6">
        <f>40000+10000+50000</f>
        <v>100000</v>
      </c>
      <c r="H60" s="59"/>
      <c r="I60" s="14"/>
    </row>
    <row r="61" spans="1:9" ht="12" customHeight="1">
      <c r="A61" s="29" t="s">
        <v>330</v>
      </c>
      <c r="B61" s="62" t="s">
        <v>329</v>
      </c>
      <c r="C61" s="6">
        <v>131500</v>
      </c>
      <c r="D61" s="49">
        <v>50500</v>
      </c>
      <c r="E61" s="88">
        <f t="shared" si="1"/>
        <v>81500</v>
      </c>
      <c r="F61" s="6">
        <v>132000</v>
      </c>
      <c r="G61" s="6">
        <f>132000</f>
        <v>132000</v>
      </c>
      <c r="H61" s="59"/>
      <c r="I61" s="14"/>
    </row>
    <row r="62" spans="1:9" ht="12.75">
      <c r="A62" s="29" t="s">
        <v>251</v>
      </c>
      <c r="B62" s="62" t="s">
        <v>252</v>
      </c>
      <c r="C62" s="283">
        <v>1200850</v>
      </c>
      <c r="D62" s="152">
        <v>499900</v>
      </c>
      <c r="E62" s="152">
        <f t="shared" si="1"/>
        <v>1057700</v>
      </c>
      <c r="F62" s="363">
        <v>1557600</v>
      </c>
      <c r="G62" s="363">
        <v>1320000</v>
      </c>
      <c r="H62" s="59"/>
      <c r="I62" s="14"/>
    </row>
    <row r="63" spans="1:9" ht="12.75">
      <c r="A63" s="29" t="s">
        <v>276</v>
      </c>
      <c r="B63" s="62" t="s">
        <v>291</v>
      </c>
      <c r="C63" s="283">
        <v>2004300</v>
      </c>
      <c r="D63" s="152">
        <v>737300</v>
      </c>
      <c r="E63" s="167">
        <f t="shared" si="1"/>
        <v>1189900</v>
      </c>
      <c r="F63" s="363">
        <v>1927200</v>
      </c>
      <c r="G63" s="363">
        <v>2085000</v>
      </c>
      <c r="H63" s="59"/>
      <c r="I63" s="14"/>
    </row>
    <row r="64" spans="1:9" ht="12.75">
      <c r="A64" s="29" t="s">
        <v>253</v>
      </c>
      <c r="B64" s="62" t="s">
        <v>254</v>
      </c>
      <c r="C64" s="283">
        <v>2903240</v>
      </c>
      <c r="D64" s="152">
        <v>1552250</v>
      </c>
      <c r="E64" s="152">
        <f t="shared" si="1"/>
        <v>1998550</v>
      </c>
      <c r="F64" s="363">
        <v>3550800</v>
      </c>
      <c r="G64" s="363">
        <v>3550800</v>
      </c>
      <c r="H64" s="59"/>
      <c r="I64" s="14"/>
    </row>
    <row r="65" spans="1:8" ht="11.25" customHeight="1">
      <c r="A65" s="29" t="s">
        <v>64</v>
      </c>
      <c r="B65" s="62" t="s">
        <v>138</v>
      </c>
      <c r="C65" s="122">
        <v>0</v>
      </c>
      <c r="D65" s="49">
        <v>0</v>
      </c>
      <c r="E65" s="88">
        <f t="shared" si="1"/>
        <v>0</v>
      </c>
      <c r="F65" s="122">
        <v>0</v>
      </c>
      <c r="G65" s="122">
        <v>0</v>
      </c>
      <c r="H65" s="59"/>
    </row>
    <row r="66" spans="1:8" ht="10.5" customHeight="1">
      <c r="A66" s="29" t="s">
        <v>66</v>
      </c>
      <c r="B66" s="62" t="s">
        <v>139</v>
      </c>
      <c r="C66" s="122">
        <v>0</v>
      </c>
      <c r="D66" s="49">
        <v>0</v>
      </c>
      <c r="E66" s="88">
        <f t="shared" si="1"/>
        <v>0</v>
      </c>
      <c r="F66" s="122">
        <v>0</v>
      </c>
      <c r="G66" s="122">
        <v>0</v>
      </c>
      <c r="H66" s="59"/>
    </row>
    <row r="67" spans="1:8" ht="12.75">
      <c r="A67" s="29" t="s">
        <v>301</v>
      </c>
      <c r="B67" s="62" t="s">
        <v>271</v>
      </c>
      <c r="C67" s="122">
        <v>80200</v>
      </c>
      <c r="D67" s="49">
        <v>0</v>
      </c>
      <c r="E67" s="88">
        <f t="shared" si="1"/>
        <v>80200</v>
      </c>
      <c r="F67" s="121">
        <f>56200+24000</f>
        <v>80200</v>
      </c>
      <c r="G67" s="121">
        <f>56200+24000</f>
        <v>80200</v>
      </c>
      <c r="H67" s="59"/>
    </row>
    <row r="68" spans="1:8" ht="12.75">
      <c r="A68" s="29" t="s">
        <v>270</v>
      </c>
      <c r="B68" s="62" t="s">
        <v>271</v>
      </c>
      <c r="C68" s="88">
        <v>719330</v>
      </c>
      <c r="D68" s="49">
        <v>1037370</v>
      </c>
      <c r="E68" s="88">
        <f t="shared" si="1"/>
        <v>62630</v>
      </c>
      <c r="F68" s="121">
        <v>1100000</v>
      </c>
      <c r="G68" s="121">
        <v>1100000</v>
      </c>
      <c r="H68" s="59"/>
    </row>
    <row r="69" spans="1:8" ht="12.75">
      <c r="A69" s="29" t="s">
        <v>95</v>
      </c>
      <c r="B69" s="62" t="s">
        <v>140</v>
      </c>
      <c r="C69" s="88">
        <v>60000</v>
      </c>
      <c r="D69" s="49">
        <v>63000</v>
      </c>
      <c r="E69" s="88">
        <f t="shared" si="1"/>
        <v>37000</v>
      </c>
      <c r="F69" s="88">
        <v>100000</v>
      </c>
      <c r="G69" s="88">
        <v>100000</v>
      </c>
      <c r="H69" s="59"/>
    </row>
    <row r="70" spans="1:8" ht="12.75">
      <c r="A70" s="29" t="s">
        <v>1</v>
      </c>
      <c r="B70" s="62" t="s">
        <v>141</v>
      </c>
      <c r="C70" s="88">
        <v>0</v>
      </c>
      <c r="D70" s="88">
        <v>0</v>
      </c>
      <c r="E70" s="88">
        <f t="shared" si="1"/>
        <v>5000</v>
      </c>
      <c r="F70" s="88">
        <v>5000</v>
      </c>
      <c r="G70" s="88">
        <v>5000</v>
      </c>
      <c r="H70" s="59"/>
    </row>
    <row r="71" spans="1:9" ht="12.75">
      <c r="A71" s="29" t="s">
        <v>104</v>
      </c>
      <c r="B71" s="62" t="s">
        <v>142</v>
      </c>
      <c r="C71" s="88">
        <v>173250</v>
      </c>
      <c r="D71" s="88">
        <v>0</v>
      </c>
      <c r="E71" s="88">
        <f t="shared" si="1"/>
        <v>180000</v>
      </c>
      <c r="F71" s="88">
        <v>180000</v>
      </c>
      <c r="G71" s="88">
        <v>180000</v>
      </c>
      <c r="H71" s="59"/>
      <c r="I71" s="14"/>
    </row>
    <row r="72" spans="1:8" ht="12.75">
      <c r="A72" s="29" t="s">
        <v>75</v>
      </c>
      <c r="B72" s="62" t="s">
        <v>143</v>
      </c>
      <c r="C72" s="88">
        <v>193878.33</v>
      </c>
      <c r="D72" s="88">
        <v>0</v>
      </c>
      <c r="E72" s="88">
        <f t="shared" si="1"/>
        <v>200000</v>
      </c>
      <c r="F72" s="88">
        <v>200000</v>
      </c>
      <c r="G72" s="88">
        <v>200000</v>
      </c>
      <c r="H72" s="59"/>
    </row>
    <row r="73" spans="1:9" ht="12.75">
      <c r="A73" s="29" t="s">
        <v>144</v>
      </c>
      <c r="B73" s="62" t="s">
        <v>145</v>
      </c>
      <c r="C73" s="88">
        <v>296636.9</v>
      </c>
      <c r="D73" s="88">
        <v>0</v>
      </c>
      <c r="E73" s="88">
        <f t="shared" si="1"/>
        <v>300000</v>
      </c>
      <c r="F73" s="88">
        <v>300000</v>
      </c>
      <c r="G73" s="88">
        <v>300000</v>
      </c>
      <c r="H73" s="59"/>
      <c r="I73" s="14"/>
    </row>
    <row r="74" spans="1:8" ht="12.75">
      <c r="A74" s="29" t="s">
        <v>146</v>
      </c>
      <c r="B74" s="62" t="s">
        <v>147</v>
      </c>
      <c r="C74" s="88">
        <v>100000</v>
      </c>
      <c r="D74" s="88">
        <v>0</v>
      </c>
      <c r="E74" s="88">
        <f t="shared" si="1"/>
        <v>100000</v>
      </c>
      <c r="F74" s="121">
        <v>100000</v>
      </c>
      <c r="G74" s="121">
        <v>100000</v>
      </c>
      <c r="H74" s="59"/>
    </row>
    <row r="75" spans="1:8" ht="12.75">
      <c r="A75" s="131" t="s">
        <v>225</v>
      </c>
      <c r="B75" s="190" t="s">
        <v>149</v>
      </c>
      <c r="C75" s="122">
        <v>2026000</v>
      </c>
      <c r="D75" s="49">
        <v>562669.99</v>
      </c>
      <c r="E75" s="88">
        <f t="shared" si="1"/>
        <v>1463330.01</v>
      </c>
      <c r="F75" s="121">
        <f>1976000+50000</f>
        <v>2026000</v>
      </c>
      <c r="G75" s="121">
        <v>2026000</v>
      </c>
      <c r="H75" s="138"/>
    </row>
    <row r="76" spans="1:8" ht="12.75">
      <c r="A76" s="131" t="s">
        <v>290</v>
      </c>
      <c r="B76" s="190" t="s">
        <v>150</v>
      </c>
      <c r="C76" s="121">
        <v>1197534.4</v>
      </c>
      <c r="D76" s="49">
        <v>0</v>
      </c>
      <c r="E76" s="88">
        <f>F76-D76</f>
        <v>2000000</v>
      </c>
      <c r="F76" s="121">
        <v>2000000</v>
      </c>
      <c r="G76" s="121">
        <v>1000000</v>
      </c>
      <c r="H76" s="165"/>
    </row>
    <row r="77" spans="1:11" ht="12.75">
      <c r="A77" s="131" t="s">
        <v>59</v>
      </c>
      <c r="B77" s="190" t="s">
        <v>151</v>
      </c>
      <c r="C77" s="122">
        <v>1810000</v>
      </c>
      <c r="D77" s="122">
        <v>3273000</v>
      </c>
      <c r="E77" s="88">
        <f t="shared" si="1"/>
        <v>327000</v>
      </c>
      <c r="F77" s="121">
        <f>3100000+500000</f>
        <v>3600000</v>
      </c>
      <c r="G77" s="121">
        <v>1870000</v>
      </c>
      <c r="H77" s="166"/>
      <c r="I77" s="20"/>
      <c r="J77" s="45"/>
      <c r="K77" s="45"/>
    </row>
    <row r="78" spans="1:11" ht="12.75">
      <c r="A78" s="131" t="s">
        <v>246</v>
      </c>
      <c r="B78" s="190" t="s">
        <v>247</v>
      </c>
      <c r="C78" s="122">
        <v>0</v>
      </c>
      <c r="D78" s="122">
        <v>0</v>
      </c>
      <c r="E78" s="88">
        <f t="shared" si="1"/>
        <v>960000</v>
      </c>
      <c r="F78" s="121">
        <v>960000</v>
      </c>
      <c r="G78" s="121">
        <v>930000</v>
      </c>
      <c r="H78" s="165"/>
      <c r="I78" s="14"/>
      <c r="J78" s="14"/>
      <c r="K78" s="14"/>
    </row>
    <row r="79" spans="1:9" ht="11.25" customHeight="1">
      <c r="A79" s="131" t="s">
        <v>263</v>
      </c>
      <c r="B79" s="190" t="s">
        <v>152</v>
      </c>
      <c r="C79" s="122">
        <v>0</v>
      </c>
      <c r="D79" s="122">
        <v>0</v>
      </c>
      <c r="E79" s="88">
        <f t="shared" si="1"/>
        <v>10869.62</v>
      </c>
      <c r="F79" s="122">
        <v>10869.62</v>
      </c>
      <c r="G79" s="122">
        <v>8887.18</v>
      </c>
      <c r="H79" s="138"/>
      <c r="I79" s="14"/>
    </row>
    <row r="80" spans="1:9" ht="12.75">
      <c r="A80" s="407"/>
      <c r="B80" s="408"/>
      <c r="C80" s="409"/>
      <c r="D80" s="409"/>
      <c r="E80" s="183"/>
      <c r="F80" s="410"/>
      <c r="G80" s="410"/>
      <c r="H80" s="138"/>
      <c r="I80" s="14"/>
    </row>
    <row r="81" spans="1:9" ht="12.75">
      <c r="A81" s="296"/>
      <c r="B81" s="297"/>
      <c r="C81" s="298"/>
      <c r="D81" s="298"/>
      <c r="E81" s="196"/>
      <c r="F81" s="298"/>
      <c r="G81" s="298"/>
      <c r="H81" s="138"/>
      <c r="I81" s="14"/>
    </row>
    <row r="82" spans="1:9" ht="12.75">
      <c r="A82" s="23"/>
      <c r="B82" s="23"/>
      <c r="C82" s="475" t="s">
        <v>79</v>
      </c>
      <c r="D82" s="479" t="s">
        <v>166</v>
      </c>
      <c r="E82" s="480"/>
      <c r="F82" s="481"/>
      <c r="G82" s="482" t="s">
        <v>73</v>
      </c>
      <c r="H82" s="138"/>
      <c r="I82" s="14"/>
    </row>
    <row r="83" spans="1:9" ht="10.5" customHeight="1">
      <c r="A83" s="24" t="s">
        <v>167</v>
      </c>
      <c r="B83" s="304" t="s">
        <v>241</v>
      </c>
      <c r="C83" s="476"/>
      <c r="D83" s="24" t="s">
        <v>168</v>
      </c>
      <c r="E83" s="24" t="s">
        <v>169</v>
      </c>
      <c r="F83" s="477" t="s">
        <v>23</v>
      </c>
      <c r="G83" s="483"/>
      <c r="H83" s="138"/>
      <c r="I83" s="14"/>
    </row>
    <row r="84" spans="1:9" ht="12.75">
      <c r="A84" s="24"/>
      <c r="B84" s="24"/>
      <c r="C84" s="24" t="s">
        <v>53</v>
      </c>
      <c r="D84" s="24" t="s">
        <v>53</v>
      </c>
      <c r="E84" s="156" t="s">
        <v>86</v>
      </c>
      <c r="F84" s="478"/>
      <c r="G84" s="3" t="s">
        <v>54</v>
      </c>
      <c r="H84" s="138"/>
      <c r="I84" s="14"/>
    </row>
    <row r="85" spans="1:9" ht="12.75">
      <c r="A85" s="46">
        <v>1</v>
      </c>
      <c r="B85" s="46">
        <v>2</v>
      </c>
      <c r="C85" s="46">
        <v>3</v>
      </c>
      <c r="D85" s="90">
        <v>4</v>
      </c>
      <c r="E85" s="90">
        <v>5</v>
      </c>
      <c r="F85" s="90">
        <v>6</v>
      </c>
      <c r="G85" s="91">
        <v>7</v>
      </c>
      <c r="H85" s="138"/>
      <c r="I85" s="14"/>
    </row>
    <row r="86" spans="1:9" ht="12.75">
      <c r="A86" s="307" t="s">
        <v>362</v>
      </c>
      <c r="B86" s="190" t="s">
        <v>153</v>
      </c>
      <c r="C86" s="122">
        <v>985752.81</v>
      </c>
      <c r="D86" s="122">
        <v>0</v>
      </c>
      <c r="E86" s="88">
        <f>F86-D86</f>
        <v>0</v>
      </c>
      <c r="F86" s="121">
        <v>0</v>
      </c>
      <c r="G86" s="121">
        <v>0</v>
      </c>
      <c r="H86" s="466"/>
      <c r="I86" s="138"/>
    </row>
    <row r="87" spans="1:9" ht="12.75">
      <c r="A87" s="462" t="s">
        <v>248</v>
      </c>
      <c r="B87" s="190" t="s">
        <v>153</v>
      </c>
      <c r="C87" s="122"/>
      <c r="D87" s="138"/>
      <c r="E87" s="88"/>
      <c r="F87" s="121"/>
      <c r="G87" s="121">
        <v>3000000</v>
      </c>
      <c r="H87" s="466"/>
      <c r="I87" s="138"/>
    </row>
    <row r="88" spans="1:9" ht="12.75">
      <c r="A88" s="202" t="s">
        <v>65</v>
      </c>
      <c r="B88" s="190" t="s">
        <v>153</v>
      </c>
      <c r="C88" s="122">
        <v>0</v>
      </c>
      <c r="D88" s="191">
        <v>700000</v>
      </c>
      <c r="E88" s="88">
        <f>F88-D88</f>
        <v>379.7700000000186</v>
      </c>
      <c r="F88" s="122">
        <f>1700379.77-1000000</f>
        <v>700379.77</v>
      </c>
      <c r="G88" s="122">
        <v>1084999.98</v>
      </c>
      <c r="H88" s="466"/>
      <c r="I88" s="2"/>
    </row>
    <row r="89" spans="1:9" ht="5.25" customHeight="1">
      <c r="A89" s="201"/>
      <c r="B89" s="190"/>
      <c r="C89" s="122"/>
      <c r="D89" s="122"/>
      <c r="E89" s="88"/>
      <c r="F89" s="122"/>
      <c r="G89" s="121"/>
      <c r="H89" s="466"/>
      <c r="I89" s="2"/>
    </row>
    <row r="90" spans="1:8" ht="12.75" hidden="1">
      <c r="A90" s="201"/>
      <c r="B90" s="190"/>
      <c r="C90" s="122"/>
      <c r="D90" s="122"/>
      <c r="E90" s="88"/>
      <c r="F90" s="122"/>
      <c r="G90" s="121"/>
      <c r="H90" s="122"/>
    </row>
    <row r="91" spans="1:8" ht="12.75" hidden="1">
      <c r="A91" s="201"/>
      <c r="B91" s="190"/>
      <c r="C91" s="122"/>
      <c r="D91" s="122"/>
      <c r="E91" s="88"/>
      <c r="F91" s="122"/>
      <c r="G91" s="122"/>
      <c r="H91" s="138"/>
    </row>
    <row r="92" spans="1:11" ht="12.75">
      <c r="A92" s="43" t="s">
        <v>192</v>
      </c>
      <c r="B92" s="40"/>
      <c r="C92" s="324">
        <f>SUM(C46:C80)+SUM(C86:C91)</f>
        <v>26088736.62999999</v>
      </c>
      <c r="D92" s="31">
        <f>SUM(D46:D80)+SUM(D86:D91)</f>
        <v>16708004.31</v>
      </c>
      <c r="E92" s="31">
        <f>SUM(E46:E80)+SUM(E86:E91)</f>
        <v>18370630.96</v>
      </c>
      <c r="F92" s="324">
        <f>SUM(F46:F80)+SUM(F86:F91)</f>
        <v>35078635.269999996</v>
      </c>
      <c r="G92" s="31">
        <f>SUM(G46:G79)+SUM(G86:G91)</f>
        <v>34716473.04</v>
      </c>
      <c r="H92" s="16"/>
      <c r="J92" s="14"/>
      <c r="K92" s="14"/>
    </row>
    <row r="93" spans="1:8" ht="12" customHeight="1">
      <c r="A93" s="35"/>
      <c r="B93" s="28"/>
      <c r="C93" s="106"/>
      <c r="D93" s="106"/>
      <c r="E93" s="106"/>
      <c r="F93" s="106"/>
      <c r="G93" s="313"/>
      <c r="H93" s="16"/>
    </row>
    <row r="94" spans="1:8" ht="12" customHeight="1">
      <c r="A94" s="269" t="s">
        <v>334</v>
      </c>
      <c r="B94" s="7"/>
      <c r="C94" s="8"/>
      <c r="D94" s="8"/>
      <c r="E94" s="8"/>
      <c r="F94" s="8"/>
      <c r="G94" s="140"/>
      <c r="H94" s="16"/>
    </row>
    <row r="95" spans="1:11" ht="12" customHeight="1">
      <c r="A95" s="349" t="s">
        <v>331</v>
      </c>
      <c r="B95" s="5" t="s">
        <v>333</v>
      </c>
      <c r="C95" s="8">
        <v>2293352.41</v>
      </c>
      <c r="D95" s="8">
        <v>788633.25</v>
      </c>
      <c r="E95" s="8">
        <f>F95-D95</f>
        <v>2238484.14</v>
      </c>
      <c r="F95" s="140">
        <v>3027117.39</v>
      </c>
      <c r="G95" s="140">
        <v>2236540.07</v>
      </c>
      <c r="H95" s="16"/>
      <c r="K95" s="14"/>
    </row>
    <row r="96" spans="1:8" ht="12" customHeight="1">
      <c r="A96" s="35"/>
      <c r="B96" s="362"/>
      <c r="C96" s="106"/>
      <c r="D96" s="106"/>
      <c r="E96" s="106"/>
      <c r="F96" s="106"/>
      <c r="G96" s="313"/>
      <c r="H96" s="415"/>
    </row>
    <row r="97" spans="1:8" ht="12.75">
      <c r="A97" s="37" t="s">
        <v>44</v>
      </c>
      <c r="B97" s="38"/>
      <c r="C97" s="109"/>
      <c r="D97" s="109"/>
      <c r="E97" s="109"/>
      <c r="F97" s="107"/>
      <c r="G97" s="107"/>
      <c r="H97" s="171"/>
    </row>
    <row r="98" spans="1:8" ht="0.75" customHeight="1">
      <c r="A98" s="37"/>
      <c r="B98" s="38"/>
      <c r="C98" s="109"/>
      <c r="D98" s="109"/>
      <c r="E98" s="109"/>
      <c r="F98" s="109"/>
      <c r="G98" s="109"/>
      <c r="H98" s="2"/>
    </row>
    <row r="99" spans="1:8" ht="15" customHeight="1">
      <c r="A99" s="28" t="s">
        <v>242</v>
      </c>
      <c r="B99" s="39" t="s">
        <v>154</v>
      </c>
      <c r="C99" s="119">
        <v>3607680.8</v>
      </c>
      <c r="D99" s="119">
        <v>0</v>
      </c>
      <c r="E99" s="88">
        <f aca="true" t="shared" si="2" ref="E99:E106">F99-D99</f>
        <v>5000000</v>
      </c>
      <c r="F99" s="119">
        <v>5000000</v>
      </c>
      <c r="G99" s="119">
        <v>6000000</v>
      </c>
      <c r="H99" s="167"/>
    </row>
    <row r="100" spans="1:8" ht="12.75">
      <c r="A100" s="28" t="s">
        <v>26</v>
      </c>
      <c r="B100" s="39" t="s">
        <v>155</v>
      </c>
      <c r="C100" s="282">
        <v>243000</v>
      </c>
      <c r="D100" s="119">
        <v>438880</v>
      </c>
      <c r="E100" s="88">
        <f t="shared" si="2"/>
        <v>1061120</v>
      </c>
      <c r="F100" s="282">
        <f>500000+1000000</f>
        <v>1500000</v>
      </c>
      <c r="G100" s="151">
        <v>0</v>
      </c>
      <c r="H100" s="133"/>
    </row>
    <row r="101" spans="1:8" ht="12.75">
      <c r="A101" s="28" t="s">
        <v>211</v>
      </c>
      <c r="B101" s="39" t="s">
        <v>156</v>
      </c>
      <c r="C101" s="151">
        <v>258170</v>
      </c>
      <c r="D101" s="119">
        <v>317120</v>
      </c>
      <c r="E101" s="88">
        <f t="shared" si="2"/>
        <v>682880</v>
      </c>
      <c r="F101" s="151">
        <v>1000000</v>
      </c>
      <c r="G101" s="151">
        <v>0</v>
      </c>
      <c r="H101" s="168"/>
    </row>
    <row r="102" spans="1:8" ht="12.75">
      <c r="A102" s="28" t="s">
        <v>92</v>
      </c>
      <c r="B102" s="39" t="s">
        <v>157</v>
      </c>
      <c r="C102" s="220">
        <v>0</v>
      </c>
      <c r="D102" s="119">
        <v>481969</v>
      </c>
      <c r="E102" s="88">
        <f t="shared" si="2"/>
        <v>18031</v>
      </c>
      <c r="F102" s="220">
        <f>500000</f>
        <v>500000</v>
      </c>
      <c r="G102" s="220">
        <v>0</v>
      </c>
      <c r="H102" s="168"/>
    </row>
    <row r="103" spans="1:13" ht="12.75">
      <c r="A103" s="28" t="s">
        <v>242</v>
      </c>
      <c r="B103" s="39" t="s">
        <v>318</v>
      </c>
      <c r="C103" s="151">
        <v>0</v>
      </c>
      <c r="D103" s="119">
        <v>0</v>
      </c>
      <c r="E103" s="88">
        <f t="shared" si="2"/>
        <v>0</v>
      </c>
      <c r="F103" s="151">
        <v>0</v>
      </c>
      <c r="G103" s="151">
        <v>2000000</v>
      </c>
      <c r="H103" s="168"/>
      <c r="L103" s="14"/>
      <c r="M103" s="14"/>
    </row>
    <row r="104" spans="1:8" ht="12.75">
      <c r="A104" s="33" t="s">
        <v>265</v>
      </c>
      <c r="B104" s="57" t="s">
        <v>320</v>
      </c>
      <c r="C104" s="151">
        <v>0</v>
      </c>
      <c r="D104" s="119">
        <v>0</v>
      </c>
      <c r="E104" s="88">
        <f t="shared" si="2"/>
        <v>0</v>
      </c>
      <c r="F104" s="151">
        <v>0</v>
      </c>
      <c r="G104" s="151">
        <v>0</v>
      </c>
      <c r="H104" s="168"/>
    </row>
    <row r="105" spans="1:8" ht="12.75">
      <c r="A105" s="33" t="s">
        <v>365</v>
      </c>
      <c r="B105" s="57"/>
      <c r="C105" s="151"/>
      <c r="D105" s="119">
        <v>0</v>
      </c>
      <c r="E105" s="88">
        <f t="shared" si="2"/>
        <v>300000</v>
      </c>
      <c r="F105" s="151">
        <v>300000</v>
      </c>
      <c r="G105" s="151">
        <v>0</v>
      </c>
      <c r="H105" s="168"/>
    </row>
    <row r="106" spans="1:8" ht="12.75">
      <c r="A106" s="28" t="s">
        <v>110</v>
      </c>
      <c r="B106" s="203" t="s">
        <v>158</v>
      </c>
      <c r="C106" s="119">
        <v>0</v>
      </c>
      <c r="D106" s="119">
        <v>1580000</v>
      </c>
      <c r="E106" s="88">
        <f t="shared" si="2"/>
        <v>420000</v>
      </c>
      <c r="F106" s="119">
        <f>4500000-2500000</f>
        <v>2000000</v>
      </c>
      <c r="G106" s="119">
        <v>0</v>
      </c>
      <c r="H106" s="167"/>
    </row>
    <row r="107" spans="1:12" ht="12.75">
      <c r="A107" s="37" t="s">
        <v>77</v>
      </c>
      <c r="B107" s="87"/>
      <c r="C107" s="325">
        <f>SUM(C98:C106)</f>
        <v>4108850.8</v>
      </c>
      <c r="D107" s="325">
        <f>SUM(D98:D106)</f>
        <v>2817969</v>
      </c>
      <c r="E107" s="325">
        <f>SUM(E98:E106)</f>
        <v>7482031</v>
      </c>
      <c r="F107" s="325">
        <f>SUM(F98:F106)</f>
        <v>10300000</v>
      </c>
      <c r="G107" s="325">
        <f>SUM(G98:G106)</f>
        <v>8000000</v>
      </c>
      <c r="H107" s="124"/>
      <c r="L107" s="14"/>
    </row>
    <row r="108" spans="1:8" ht="13.5" customHeight="1">
      <c r="A108" s="28"/>
      <c r="B108" s="87"/>
      <c r="C108" s="88"/>
      <c r="D108" s="88"/>
      <c r="E108" s="88"/>
      <c r="F108" s="88"/>
      <c r="G108" s="88"/>
      <c r="H108" s="59"/>
    </row>
    <row r="109" spans="1:13" ht="12.75">
      <c r="A109" s="25" t="s">
        <v>34</v>
      </c>
      <c r="B109" s="111"/>
      <c r="C109" s="326">
        <f>C34+C92+C107+C95</f>
        <v>39647949.91</v>
      </c>
      <c r="D109" s="326">
        <f>D34+D92+D107+D95</f>
        <v>23859868.12</v>
      </c>
      <c r="E109" s="326">
        <f>E34+E92+E107+E95</f>
        <v>32794513.17</v>
      </c>
      <c r="F109" s="326">
        <f>F34+F92+F107+F95</f>
        <v>56654381.29</v>
      </c>
      <c r="G109" s="326">
        <f>G34+G92+G107+G95</f>
        <v>53042731.83</v>
      </c>
      <c r="H109" s="16"/>
      <c r="M109" s="14"/>
    </row>
    <row r="110" spans="1:13" ht="12.75">
      <c r="A110" s="2"/>
      <c r="B110" s="2"/>
      <c r="C110" s="2"/>
      <c r="D110" s="2"/>
      <c r="E110" s="2"/>
      <c r="F110" s="59"/>
      <c r="G110" s="14"/>
      <c r="H110" s="14"/>
      <c r="M110" s="14"/>
    </row>
    <row r="111" spans="1:13" ht="12.75">
      <c r="A111" s="2"/>
      <c r="B111" s="2"/>
      <c r="C111" s="2"/>
      <c r="D111" s="2"/>
      <c r="E111" s="2"/>
      <c r="F111" s="2"/>
      <c r="G111" s="394">
        <f>G92+G95</f>
        <v>36953013.11</v>
      </c>
      <c r="H111" s="14"/>
      <c r="M111" s="14"/>
    </row>
    <row r="112" spans="1:8" ht="12.75">
      <c r="A112" s="2" t="s">
        <v>185</v>
      </c>
      <c r="B112" s="2" t="s">
        <v>186</v>
      </c>
      <c r="C112" s="2"/>
      <c r="D112" s="2"/>
      <c r="E112" s="161" t="s">
        <v>170</v>
      </c>
      <c r="F112" s="2"/>
      <c r="G112" s="14"/>
      <c r="H112" s="14"/>
    </row>
    <row r="113" ht="12.75">
      <c r="H113" s="14"/>
    </row>
    <row r="114" ht="12.75">
      <c r="H114" s="14"/>
    </row>
    <row r="115" spans="1:8" ht="12.75">
      <c r="A115" s="2"/>
      <c r="B115" s="22"/>
      <c r="C115" s="22"/>
      <c r="D115" s="22"/>
      <c r="E115" s="162"/>
      <c r="F115" s="22"/>
      <c r="G115" s="14"/>
      <c r="H115" s="14"/>
    </row>
    <row r="116" spans="1:6" ht="12.75">
      <c r="A116" s="98" t="s">
        <v>161</v>
      </c>
      <c r="B116" s="22" t="s">
        <v>277</v>
      </c>
      <c r="C116" s="22"/>
      <c r="D116" s="22"/>
      <c r="E116" s="162" t="s">
        <v>161</v>
      </c>
      <c r="F116" s="22"/>
    </row>
    <row r="117" spans="1:6" ht="12.75">
      <c r="A117" s="74" t="s">
        <v>25</v>
      </c>
      <c r="B117" s="2" t="s">
        <v>373</v>
      </c>
      <c r="C117" s="2"/>
      <c r="D117" s="2"/>
      <c r="E117" s="161" t="s">
        <v>25</v>
      </c>
      <c r="F117" s="2"/>
    </row>
    <row r="118" spans="1:6" ht="12.75">
      <c r="A118" s="22"/>
      <c r="B118" s="22"/>
      <c r="C118" s="22"/>
      <c r="D118" s="22"/>
      <c r="E118" s="22"/>
      <c r="F118" s="2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7" ht="12.75">
      <c r="A124" s="19" t="s">
        <v>208</v>
      </c>
      <c r="B124" s="2"/>
      <c r="C124" s="2"/>
      <c r="D124" s="2"/>
      <c r="E124" s="2"/>
      <c r="F124" s="2"/>
      <c r="G124" s="2"/>
    </row>
    <row r="125" spans="1:7" ht="12.75">
      <c r="A125" s="19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5">
      <c r="A127" s="474" t="s">
        <v>165</v>
      </c>
      <c r="B127" s="474"/>
      <c r="C127" s="474"/>
      <c r="D127" s="474"/>
      <c r="E127" s="474"/>
      <c r="F127" s="474"/>
      <c r="G127" s="474"/>
    </row>
    <row r="128" spans="1:7" ht="15">
      <c r="A128" s="474" t="s">
        <v>172</v>
      </c>
      <c r="B128" s="474"/>
      <c r="C128" s="474"/>
      <c r="D128" s="474"/>
      <c r="E128" s="474"/>
      <c r="F128" s="474"/>
      <c r="G128" s="474"/>
    </row>
    <row r="129" spans="1:7" ht="8.25" customHeight="1">
      <c r="A129" s="54"/>
      <c r="B129" s="54"/>
      <c r="C129" s="54"/>
      <c r="D129" s="54"/>
      <c r="E129" s="54"/>
      <c r="F129" s="54"/>
      <c r="G129" s="54"/>
    </row>
    <row r="130" spans="1:7" ht="12.75">
      <c r="A130" s="54"/>
      <c r="B130" s="54"/>
      <c r="C130" s="54"/>
      <c r="D130" s="54"/>
      <c r="E130" s="54"/>
      <c r="F130" s="54"/>
      <c r="G130" s="54"/>
    </row>
    <row r="131" spans="1:7" ht="12.75">
      <c r="A131" s="21" t="s">
        <v>52</v>
      </c>
      <c r="B131" s="21" t="s">
        <v>292</v>
      </c>
      <c r="C131" s="21"/>
      <c r="D131" s="21"/>
      <c r="E131" s="21"/>
      <c r="F131" s="2"/>
      <c r="G131" s="2"/>
    </row>
    <row r="132" spans="1:7" ht="9" customHeight="1">
      <c r="A132" s="2"/>
      <c r="B132" s="2"/>
      <c r="C132" s="2"/>
      <c r="D132" s="2"/>
      <c r="E132" s="2"/>
      <c r="F132" s="2"/>
      <c r="G132" s="2"/>
    </row>
    <row r="133" spans="1:7" ht="12.75">
      <c r="A133" s="23"/>
      <c r="B133" s="23"/>
      <c r="C133" s="475" t="s">
        <v>79</v>
      </c>
      <c r="D133" s="479" t="s">
        <v>166</v>
      </c>
      <c r="E133" s="480"/>
      <c r="F133" s="481"/>
      <c r="G133" s="482" t="s">
        <v>73</v>
      </c>
    </row>
    <row r="134" spans="1:7" ht="12.75">
      <c r="A134" s="24" t="s">
        <v>167</v>
      </c>
      <c r="B134" s="304" t="s">
        <v>241</v>
      </c>
      <c r="C134" s="476"/>
      <c r="D134" s="24" t="s">
        <v>168</v>
      </c>
      <c r="E134" s="24" t="s">
        <v>169</v>
      </c>
      <c r="F134" s="477" t="s">
        <v>23</v>
      </c>
      <c r="G134" s="483"/>
    </row>
    <row r="135" spans="1:7" ht="12.75">
      <c r="A135" s="24"/>
      <c r="B135" s="24"/>
      <c r="C135" s="24" t="s">
        <v>53</v>
      </c>
      <c r="D135" s="24" t="s">
        <v>53</v>
      </c>
      <c r="E135" s="156" t="s">
        <v>86</v>
      </c>
      <c r="F135" s="478"/>
      <c r="G135" s="3" t="s">
        <v>54</v>
      </c>
    </row>
    <row r="136" spans="1:7" ht="12.75">
      <c r="A136" s="46">
        <v>1</v>
      </c>
      <c r="B136" s="46">
        <v>2</v>
      </c>
      <c r="C136" s="46">
        <v>3</v>
      </c>
      <c r="D136" s="90">
        <v>4</v>
      </c>
      <c r="E136" s="90">
        <v>5</v>
      </c>
      <c r="F136" s="90">
        <v>6</v>
      </c>
      <c r="G136" s="91">
        <v>7</v>
      </c>
    </row>
    <row r="137" spans="1:7" ht="12.75">
      <c r="A137" s="5"/>
      <c r="B137" s="5"/>
      <c r="C137" s="5"/>
      <c r="D137" s="116"/>
      <c r="E137" s="116"/>
      <c r="F137" s="116"/>
      <c r="G137" s="5"/>
    </row>
    <row r="138" spans="1:7" ht="15">
      <c r="A138" s="42" t="s">
        <v>43</v>
      </c>
      <c r="B138" s="72"/>
      <c r="C138" s="5"/>
      <c r="D138" s="116"/>
      <c r="E138" s="116"/>
      <c r="F138" s="116"/>
      <c r="G138" s="92"/>
    </row>
    <row r="139" spans="1:7" ht="12.75">
      <c r="A139" s="41" t="s">
        <v>222</v>
      </c>
      <c r="B139" s="157" t="s">
        <v>113</v>
      </c>
      <c r="C139" s="6">
        <v>985213</v>
      </c>
      <c r="D139" s="139">
        <v>512238</v>
      </c>
      <c r="E139" s="88">
        <f aca="true" t="shared" si="3" ref="E139:E153">F139-D139</f>
        <v>870222</v>
      </c>
      <c r="F139" s="6">
        <v>1382460</v>
      </c>
      <c r="G139" s="6">
        <v>1442904</v>
      </c>
    </row>
    <row r="140" spans="1:7" ht="12.75">
      <c r="A140" s="29" t="s">
        <v>100</v>
      </c>
      <c r="B140" s="157" t="s">
        <v>114</v>
      </c>
      <c r="C140" s="6">
        <v>120000</v>
      </c>
      <c r="D140" s="139">
        <v>60000</v>
      </c>
      <c r="E140" s="88">
        <f t="shared" si="3"/>
        <v>84000</v>
      </c>
      <c r="F140" s="6">
        <v>144000</v>
      </c>
      <c r="G140" s="6">
        <v>144000</v>
      </c>
    </row>
    <row r="141" spans="1:7" ht="12.75">
      <c r="A141" s="41" t="s">
        <v>42</v>
      </c>
      <c r="B141" s="157" t="s">
        <v>115</v>
      </c>
      <c r="C141" s="6">
        <v>0</v>
      </c>
      <c r="D141" s="139">
        <v>0</v>
      </c>
      <c r="E141" s="88">
        <f t="shared" si="3"/>
        <v>0</v>
      </c>
      <c r="F141" s="6">
        <v>0</v>
      </c>
      <c r="G141" s="6">
        <v>0</v>
      </c>
    </row>
    <row r="142" spans="1:7" ht="12.75">
      <c r="A142" s="41" t="s">
        <v>3</v>
      </c>
      <c r="B142" s="62" t="s">
        <v>159</v>
      </c>
      <c r="C142" s="6">
        <v>0</v>
      </c>
      <c r="D142" s="343">
        <v>0</v>
      </c>
      <c r="E142" s="88">
        <f t="shared" si="3"/>
        <v>0</v>
      </c>
      <c r="F142" s="6">
        <v>0</v>
      </c>
      <c r="G142" s="6">
        <v>0</v>
      </c>
    </row>
    <row r="143" spans="1:7" ht="12.75">
      <c r="A143" s="41" t="s">
        <v>18</v>
      </c>
      <c r="B143" s="157" t="s">
        <v>116</v>
      </c>
      <c r="C143" s="6">
        <v>30000</v>
      </c>
      <c r="D143" s="139">
        <v>30000</v>
      </c>
      <c r="E143" s="88">
        <f t="shared" si="3"/>
        <v>6000</v>
      </c>
      <c r="F143" s="6">
        <v>36000</v>
      </c>
      <c r="G143" s="6">
        <v>36000</v>
      </c>
    </row>
    <row r="144" spans="1:7" ht="12.75">
      <c r="A144" s="41" t="s">
        <v>175</v>
      </c>
      <c r="B144" s="157" t="s">
        <v>176</v>
      </c>
      <c r="C144" s="64">
        <v>25000</v>
      </c>
      <c r="D144" s="139">
        <v>0</v>
      </c>
      <c r="E144" s="88">
        <f t="shared" si="3"/>
        <v>30000</v>
      </c>
      <c r="F144" s="64">
        <v>30000</v>
      </c>
      <c r="G144" s="64">
        <v>30000</v>
      </c>
    </row>
    <row r="145" spans="1:7" ht="12.75">
      <c r="A145" s="41" t="s">
        <v>27</v>
      </c>
      <c r="B145" s="157" t="s">
        <v>117</v>
      </c>
      <c r="C145" s="6">
        <v>25000</v>
      </c>
      <c r="D145" s="139">
        <v>0</v>
      </c>
      <c r="E145" s="88">
        <f t="shared" si="3"/>
        <v>30000</v>
      </c>
      <c r="F145" s="6">
        <v>30000</v>
      </c>
      <c r="G145" s="6">
        <v>30000</v>
      </c>
    </row>
    <row r="146" spans="1:7" ht="12.75">
      <c r="A146" s="41" t="s">
        <v>96</v>
      </c>
      <c r="B146" s="157" t="s">
        <v>118</v>
      </c>
      <c r="C146" s="6">
        <v>82153</v>
      </c>
      <c r="D146" s="139">
        <v>0</v>
      </c>
      <c r="E146" s="88">
        <f t="shared" si="3"/>
        <v>115205</v>
      </c>
      <c r="F146" s="6">
        <f>F139/12</f>
        <v>115205</v>
      </c>
      <c r="G146" s="6">
        <f>G139/12</f>
        <v>120242</v>
      </c>
    </row>
    <row r="147" spans="1:7" ht="12.75">
      <c r="A147" s="41" t="s">
        <v>173</v>
      </c>
      <c r="B147" s="157" t="s">
        <v>174</v>
      </c>
      <c r="C147" s="6">
        <v>82064</v>
      </c>
      <c r="D147" s="139">
        <v>85373</v>
      </c>
      <c r="E147" s="88">
        <f t="shared" si="3"/>
        <v>29832</v>
      </c>
      <c r="F147" s="6">
        <f>F146</f>
        <v>115205</v>
      </c>
      <c r="G147" s="6">
        <f>G146</f>
        <v>120242</v>
      </c>
    </row>
    <row r="148" spans="1:7" ht="12.75">
      <c r="A148" s="41" t="s">
        <v>232</v>
      </c>
      <c r="B148" s="157" t="s">
        <v>119</v>
      </c>
      <c r="C148" s="6">
        <v>118225.56</v>
      </c>
      <c r="D148" s="6">
        <v>61468.56</v>
      </c>
      <c r="E148" s="88">
        <f t="shared" si="3"/>
        <v>104426.63999999998</v>
      </c>
      <c r="F148" s="6">
        <f>F139*12%</f>
        <v>165895.19999999998</v>
      </c>
      <c r="G148" s="6">
        <v>173148.48</v>
      </c>
    </row>
    <row r="149" spans="1:7" ht="12.75">
      <c r="A149" s="41" t="s">
        <v>28</v>
      </c>
      <c r="B149" s="157" t="s">
        <v>120</v>
      </c>
      <c r="C149" s="6">
        <v>6000</v>
      </c>
      <c r="D149" s="6">
        <v>3000</v>
      </c>
      <c r="E149" s="88">
        <f t="shared" si="3"/>
        <v>4200</v>
      </c>
      <c r="F149" s="6">
        <v>7200</v>
      </c>
      <c r="G149" s="6">
        <v>7200</v>
      </c>
    </row>
    <row r="150" spans="1:7" ht="12.75">
      <c r="A150" s="41" t="s">
        <v>69</v>
      </c>
      <c r="B150" s="157" t="s">
        <v>121</v>
      </c>
      <c r="C150" s="6">
        <v>14778.22</v>
      </c>
      <c r="D150" s="6">
        <v>8110.48</v>
      </c>
      <c r="E150" s="88">
        <f t="shared" si="3"/>
        <v>19538.72</v>
      </c>
      <c r="F150" s="6">
        <v>27649.2</v>
      </c>
      <c r="G150" s="6">
        <v>32465.34</v>
      </c>
    </row>
    <row r="151" spans="1:7" ht="12.75">
      <c r="A151" s="29" t="s">
        <v>122</v>
      </c>
      <c r="B151" s="157" t="s">
        <v>123</v>
      </c>
      <c r="C151" s="6">
        <v>6000</v>
      </c>
      <c r="D151" s="6">
        <v>3000</v>
      </c>
      <c r="E151" s="88">
        <f t="shared" si="3"/>
        <v>4200</v>
      </c>
      <c r="F151" s="6">
        <v>7200</v>
      </c>
      <c r="G151" s="6">
        <v>7200</v>
      </c>
    </row>
    <row r="152" spans="1:7" ht="12.75">
      <c r="A152" s="41" t="s">
        <v>68</v>
      </c>
      <c r="B152" s="157" t="s">
        <v>124</v>
      </c>
      <c r="C152" s="6">
        <v>0</v>
      </c>
      <c r="D152" s="6">
        <v>0</v>
      </c>
      <c r="E152" s="88">
        <f t="shared" si="3"/>
        <v>0</v>
      </c>
      <c r="F152" s="6">
        <v>0</v>
      </c>
      <c r="G152" s="6">
        <v>0</v>
      </c>
    </row>
    <row r="153" spans="1:7" ht="12.75">
      <c r="A153" s="41" t="s">
        <v>99</v>
      </c>
      <c r="B153" s="157" t="s">
        <v>125</v>
      </c>
      <c r="C153" s="60">
        <v>21655.39</v>
      </c>
      <c r="D153" s="6">
        <v>22626.47</v>
      </c>
      <c r="E153" s="88">
        <f t="shared" si="3"/>
        <v>32893.93</v>
      </c>
      <c r="F153" s="60">
        <v>55520.4</v>
      </c>
      <c r="G153" s="60">
        <v>57947.87</v>
      </c>
    </row>
    <row r="154" spans="1:9" ht="12.75">
      <c r="A154" s="18" t="s">
        <v>193</v>
      </c>
      <c r="B154" s="33"/>
      <c r="C154" s="8">
        <f>SUM(C139:C153)</f>
        <v>1516089.17</v>
      </c>
      <c r="D154" s="8">
        <f>SUM(D139:D153)</f>
        <v>785816.51</v>
      </c>
      <c r="E154" s="8">
        <f>SUM(E139:E153)</f>
        <v>1330518.2899999998</v>
      </c>
      <c r="F154" s="8">
        <f>SUM(F139:F153)</f>
        <v>2116334.8</v>
      </c>
      <c r="G154" s="140">
        <f>SUM(G139:G153)</f>
        <v>2201349.69</v>
      </c>
      <c r="I154" s="14"/>
    </row>
    <row r="155" spans="1:7" ht="12.75">
      <c r="A155" s="5"/>
      <c r="B155" s="33"/>
      <c r="C155" s="6"/>
      <c r="D155" s="6"/>
      <c r="E155" s="6"/>
      <c r="F155" s="6"/>
      <c r="G155" s="6"/>
    </row>
    <row r="156" spans="1:7" ht="13.5" thickBot="1">
      <c r="A156" s="329"/>
      <c r="B156" s="330"/>
      <c r="C156" s="331"/>
      <c r="D156" s="331"/>
      <c r="E156" s="331"/>
      <c r="F156" s="331"/>
      <c r="G156" s="331"/>
    </row>
    <row r="157" spans="1:7" ht="12.75">
      <c r="A157" s="2"/>
      <c r="B157" s="36"/>
      <c r="C157" s="59"/>
      <c r="D157" s="59"/>
      <c r="E157" s="59"/>
      <c r="F157" s="59"/>
      <c r="G157" s="59"/>
    </row>
    <row r="158" spans="1:7" ht="12.75">
      <c r="A158" s="2"/>
      <c r="B158" s="36"/>
      <c r="C158" s="59"/>
      <c r="D158" s="59"/>
      <c r="E158" s="59"/>
      <c r="F158" s="59"/>
      <c r="G158" s="59"/>
    </row>
    <row r="159" spans="1:7" ht="12.75">
      <c r="A159" s="2"/>
      <c r="B159" s="36"/>
      <c r="C159" s="59"/>
      <c r="D159" s="59"/>
      <c r="E159" s="59"/>
      <c r="F159" s="59"/>
      <c r="G159" s="59"/>
    </row>
    <row r="160" spans="1:7" ht="12.75">
      <c r="A160" s="2"/>
      <c r="B160" s="36"/>
      <c r="C160" s="59"/>
      <c r="D160" s="59"/>
      <c r="E160" s="59"/>
      <c r="F160" s="59"/>
      <c r="G160" s="59"/>
    </row>
    <row r="161" spans="1:7" ht="12.75">
      <c r="A161" s="2"/>
      <c r="B161" s="36"/>
      <c r="C161" s="59"/>
      <c r="D161" s="59"/>
      <c r="E161" s="59"/>
      <c r="F161" s="59"/>
      <c r="G161" s="59"/>
    </row>
    <row r="162" spans="1:7" ht="11.25" customHeight="1">
      <c r="A162" s="68"/>
      <c r="B162" s="184"/>
      <c r="C162" s="185"/>
      <c r="D162" s="185"/>
      <c r="E162" s="185"/>
      <c r="F162" s="185"/>
      <c r="G162" s="185"/>
    </row>
    <row r="163" spans="1:7" ht="12.75">
      <c r="A163" s="23"/>
      <c r="B163" s="23"/>
      <c r="C163" s="475" t="s">
        <v>79</v>
      </c>
      <c r="D163" s="479" t="s">
        <v>166</v>
      </c>
      <c r="E163" s="480"/>
      <c r="F163" s="481"/>
      <c r="G163" s="482" t="s">
        <v>73</v>
      </c>
    </row>
    <row r="164" spans="1:7" ht="12.75">
      <c r="A164" s="24" t="s">
        <v>167</v>
      </c>
      <c r="B164" s="304" t="s">
        <v>241</v>
      </c>
      <c r="C164" s="476"/>
      <c r="D164" s="24" t="s">
        <v>168</v>
      </c>
      <c r="E164" s="24" t="s">
        <v>169</v>
      </c>
      <c r="F164" s="477" t="s">
        <v>23</v>
      </c>
      <c r="G164" s="483"/>
    </row>
    <row r="165" spans="1:7" ht="12.75">
      <c r="A165" s="24"/>
      <c r="B165" s="24"/>
      <c r="C165" s="24" t="s">
        <v>53</v>
      </c>
      <c r="D165" s="24" t="s">
        <v>53</v>
      </c>
      <c r="E165" s="156" t="s">
        <v>86</v>
      </c>
      <c r="F165" s="478"/>
      <c r="G165" s="3" t="s">
        <v>54</v>
      </c>
    </row>
    <row r="166" spans="1:7" ht="12.75">
      <c r="A166" s="46">
        <v>1</v>
      </c>
      <c r="B166" s="46">
        <v>2</v>
      </c>
      <c r="C166" s="46">
        <v>3</v>
      </c>
      <c r="D166" s="90">
        <v>4</v>
      </c>
      <c r="E166" s="90">
        <v>5</v>
      </c>
      <c r="F166" s="90">
        <v>6</v>
      </c>
      <c r="G166" s="91">
        <v>7</v>
      </c>
    </row>
    <row r="167" spans="1:7" ht="3" customHeight="1">
      <c r="A167" s="5"/>
      <c r="B167" s="33"/>
      <c r="C167" s="6"/>
      <c r="D167" s="6"/>
      <c r="E167" s="6"/>
      <c r="F167" s="6"/>
      <c r="G167" s="6"/>
    </row>
    <row r="168" spans="1:7" ht="12.75">
      <c r="A168" s="32" t="s">
        <v>189</v>
      </c>
      <c r="B168" s="72"/>
      <c r="C168" s="139"/>
      <c r="D168" s="6"/>
      <c r="E168" s="6"/>
      <c r="F168" s="6"/>
      <c r="G168" s="6"/>
    </row>
    <row r="169" spans="1:7" ht="12.75">
      <c r="A169" s="29" t="s">
        <v>191</v>
      </c>
      <c r="B169" s="62" t="s">
        <v>126</v>
      </c>
      <c r="C169" s="6">
        <v>46753</v>
      </c>
      <c r="D169" s="6">
        <v>28970.52</v>
      </c>
      <c r="E169" s="88">
        <f aca="true" t="shared" si="4" ref="E169:E186">F169-D169</f>
        <v>31029.48</v>
      </c>
      <c r="F169" s="139">
        <v>60000</v>
      </c>
      <c r="G169" s="139">
        <v>60000</v>
      </c>
    </row>
    <row r="170" spans="1:7" ht="12.75">
      <c r="A170" s="41" t="s">
        <v>19</v>
      </c>
      <c r="B170" s="62" t="s">
        <v>127</v>
      </c>
      <c r="C170" s="6">
        <v>60000</v>
      </c>
      <c r="D170" s="6">
        <v>11105</v>
      </c>
      <c r="E170" s="88">
        <f t="shared" si="4"/>
        <v>48895</v>
      </c>
      <c r="F170" s="139">
        <v>60000</v>
      </c>
      <c r="G170" s="139">
        <v>60000</v>
      </c>
    </row>
    <row r="171" spans="1:7" ht="12.75">
      <c r="A171" s="41" t="s">
        <v>2</v>
      </c>
      <c r="B171" s="62" t="s">
        <v>128</v>
      </c>
      <c r="C171" s="6">
        <v>50000</v>
      </c>
      <c r="D171" s="6">
        <v>2550.44</v>
      </c>
      <c r="E171" s="88">
        <f t="shared" si="4"/>
        <v>47449.56</v>
      </c>
      <c r="F171" s="139">
        <v>50000</v>
      </c>
      <c r="G171" s="139">
        <v>50000</v>
      </c>
    </row>
    <row r="172" spans="1:7" ht="12.75">
      <c r="A172" s="125" t="s">
        <v>349</v>
      </c>
      <c r="B172" s="361" t="s">
        <v>219</v>
      </c>
      <c r="C172" s="139"/>
      <c r="D172" s="139">
        <v>0</v>
      </c>
      <c r="E172" s="88">
        <f t="shared" si="4"/>
        <v>200000</v>
      </c>
      <c r="F172" s="139">
        <v>200000</v>
      </c>
      <c r="G172" s="139">
        <v>200000</v>
      </c>
    </row>
    <row r="173" spans="1:7" ht="12.75">
      <c r="A173" s="105" t="s">
        <v>201</v>
      </c>
      <c r="B173" s="62" t="s">
        <v>130</v>
      </c>
      <c r="C173" s="6">
        <v>0</v>
      </c>
      <c r="D173" s="6">
        <v>0</v>
      </c>
      <c r="E173" s="88">
        <f t="shared" si="4"/>
        <v>0</v>
      </c>
      <c r="F173" s="139">
        <v>0</v>
      </c>
      <c r="G173" s="139">
        <v>0</v>
      </c>
    </row>
    <row r="174" spans="1:7" ht="12.75">
      <c r="A174" s="29" t="s">
        <v>63</v>
      </c>
      <c r="B174" s="62" t="s">
        <v>131</v>
      </c>
      <c r="C174" s="6">
        <v>0</v>
      </c>
      <c r="D174" s="6">
        <v>0</v>
      </c>
      <c r="E174" s="88">
        <f t="shared" si="4"/>
        <v>2000</v>
      </c>
      <c r="F174" s="139">
        <v>2000</v>
      </c>
      <c r="G174" s="139">
        <v>2000</v>
      </c>
    </row>
    <row r="175" spans="1:7" ht="12.75">
      <c r="A175" s="29" t="s">
        <v>356</v>
      </c>
      <c r="B175" s="62" t="s">
        <v>132</v>
      </c>
      <c r="C175" s="6">
        <v>0</v>
      </c>
      <c r="D175" s="6">
        <v>0</v>
      </c>
      <c r="E175" s="88">
        <f t="shared" si="4"/>
        <v>0</v>
      </c>
      <c r="F175" s="139">
        <v>0</v>
      </c>
      <c r="G175" s="139">
        <v>150000</v>
      </c>
    </row>
    <row r="176" spans="1:7" ht="12.75">
      <c r="A176" s="29" t="s">
        <v>133</v>
      </c>
      <c r="B176" s="62" t="s">
        <v>134</v>
      </c>
      <c r="C176" s="6">
        <v>0</v>
      </c>
      <c r="D176" s="6">
        <v>0</v>
      </c>
      <c r="E176" s="88">
        <f t="shared" si="4"/>
        <v>0</v>
      </c>
      <c r="F176" s="6">
        <v>0</v>
      </c>
      <c r="G176" s="6">
        <v>0</v>
      </c>
    </row>
    <row r="177" spans="1:7" ht="12.75">
      <c r="A177" s="29" t="s">
        <v>227</v>
      </c>
      <c r="B177" s="62" t="s">
        <v>135</v>
      </c>
      <c r="C177" s="6">
        <v>21000</v>
      </c>
      <c r="D177" s="6">
        <v>35000</v>
      </c>
      <c r="E177" s="88">
        <f t="shared" si="4"/>
        <v>49000</v>
      </c>
      <c r="F177" s="139">
        <v>84000</v>
      </c>
      <c r="G177" s="139">
        <v>84000</v>
      </c>
    </row>
    <row r="178" spans="1:7" ht="12.75">
      <c r="A178" s="41" t="s">
        <v>45</v>
      </c>
      <c r="B178" s="63" t="s">
        <v>136</v>
      </c>
      <c r="C178" s="6">
        <v>13000</v>
      </c>
      <c r="D178" s="6">
        <v>8000</v>
      </c>
      <c r="E178" s="88">
        <f t="shared" si="4"/>
        <v>16000</v>
      </c>
      <c r="F178" s="139">
        <v>24000</v>
      </c>
      <c r="G178" s="139">
        <v>24000</v>
      </c>
    </row>
    <row r="179" spans="1:7" ht="12.75">
      <c r="A179" s="41" t="s">
        <v>304</v>
      </c>
      <c r="B179" s="58" t="s">
        <v>303</v>
      </c>
      <c r="C179" s="6">
        <v>300000</v>
      </c>
      <c r="D179" s="6">
        <v>0</v>
      </c>
      <c r="E179" s="88">
        <f t="shared" si="4"/>
        <v>600000</v>
      </c>
      <c r="F179" s="139">
        <v>600000</v>
      </c>
      <c r="G179" s="139">
        <v>600000</v>
      </c>
    </row>
    <row r="180" spans="1:8" ht="12.75">
      <c r="A180" s="29" t="s">
        <v>256</v>
      </c>
      <c r="B180" s="62" t="s">
        <v>249</v>
      </c>
      <c r="C180" s="6">
        <f>477160+247900+250000</f>
        <v>975060</v>
      </c>
      <c r="D180" s="6">
        <v>0</v>
      </c>
      <c r="E180" s="88">
        <f>F180-D180</f>
        <v>0</v>
      </c>
      <c r="F180" s="139">
        <v>0</v>
      </c>
      <c r="G180" s="139">
        <f>300000+100000+220000-79200</f>
        <v>540800</v>
      </c>
      <c r="H180" s="14"/>
    </row>
    <row r="181" spans="1:7" ht="12.75">
      <c r="A181" s="29" t="s">
        <v>251</v>
      </c>
      <c r="B181" s="62" t="s">
        <v>252</v>
      </c>
      <c r="C181" s="6">
        <v>687600</v>
      </c>
      <c r="D181" s="6">
        <v>232300</v>
      </c>
      <c r="E181" s="152">
        <f t="shared" si="4"/>
        <v>1267700</v>
      </c>
      <c r="F181" s="139">
        <v>1500000</v>
      </c>
      <c r="G181" s="139">
        <v>607200</v>
      </c>
    </row>
    <row r="182" spans="1:7" ht="12.75">
      <c r="A182" s="29" t="s">
        <v>253</v>
      </c>
      <c r="B182" s="62" t="s">
        <v>254</v>
      </c>
      <c r="C182" s="6">
        <v>0</v>
      </c>
      <c r="D182" s="6">
        <v>42570</v>
      </c>
      <c r="E182" s="152">
        <f t="shared" si="4"/>
        <v>157430</v>
      </c>
      <c r="F182" s="139">
        <v>200000</v>
      </c>
      <c r="G182" s="139">
        <f>105600+79200</f>
        <v>184800</v>
      </c>
    </row>
    <row r="183" spans="1:7" ht="12.75">
      <c r="A183" s="29" t="s">
        <v>358</v>
      </c>
      <c r="B183" s="62" t="s">
        <v>145</v>
      </c>
      <c r="C183" s="6"/>
      <c r="D183" s="6">
        <v>0</v>
      </c>
      <c r="E183" s="152">
        <f t="shared" si="4"/>
        <v>0</v>
      </c>
      <c r="F183" s="139">
        <v>0</v>
      </c>
      <c r="G183" s="139">
        <v>0</v>
      </c>
    </row>
    <row r="184" spans="1:7" ht="12.75">
      <c r="A184" s="29" t="s">
        <v>146</v>
      </c>
      <c r="B184" s="62" t="s">
        <v>147</v>
      </c>
      <c r="C184" s="6">
        <v>0</v>
      </c>
      <c r="D184" s="6">
        <v>0</v>
      </c>
      <c r="E184" s="152">
        <f t="shared" si="4"/>
        <v>15000</v>
      </c>
      <c r="F184" s="139">
        <v>15000</v>
      </c>
      <c r="G184" s="139">
        <v>15000</v>
      </c>
    </row>
    <row r="185" spans="1:7" ht="12.75">
      <c r="A185" s="365" t="s">
        <v>357</v>
      </c>
      <c r="B185" s="411" t="s">
        <v>213</v>
      </c>
      <c r="C185" s="139"/>
      <c r="D185" s="139"/>
      <c r="E185" s="152">
        <f t="shared" si="4"/>
        <v>5000</v>
      </c>
      <c r="F185" s="139">
        <v>5000</v>
      </c>
      <c r="G185" s="139">
        <v>5000</v>
      </c>
    </row>
    <row r="186" spans="1:7" ht="12.75">
      <c r="A186" s="29" t="s">
        <v>272</v>
      </c>
      <c r="B186" s="34" t="s">
        <v>271</v>
      </c>
      <c r="C186" s="6">
        <v>71762</v>
      </c>
      <c r="D186" s="6">
        <v>0</v>
      </c>
      <c r="E186" s="152">
        <f t="shared" si="4"/>
        <v>75000</v>
      </c>
      <c r="F186" s="139">
        <v>75000</v>
      </c>
      <c r="G186" s="139">
        <v>75000</v>
      </c>
    </row>
    <row r="187" spans="1:11" ht="12.75">
      <c r="A187" s="43" t="s">
        <v>192</v>
      </c>
      <c r="B187" s="5"/>
      <c r="C187" s="140">
        <f>SUM(C169:C186)</f>
        <v>2225175</v>
      </c>
      <c r="D187" s="8">
        <f>SUM(D169:D186)</f>
        <v>360495.96</v>
      </c>
      <c r="E187" s="8">
        <f>SUM(E169:E186)</f>
        <v>2514504.04</v>
      </c>
      <c r="F187" s="8">
        <f>SUM(F169:F186)</f>
        <v>2875000</v>
      </c>
      <c r="G187" s="8">
        <f>SUM(G169:G186)</f>
        <v>2657800</v>
      </c>
      <c r="J187" s="14"/>
      <c r="K187" s="14"/>
    </row>
    <row r="188" spans="1:7" ht="12.75">
      <c r="A188" s="43" t="s">
        <v>44</v>
      </c>
      <c r="B188" s="5"/>
      <c r="C188" s="77"/>
      <c r="D188" s="64"/>
      <c r="E188" s="64"/>
      <c r="F188" s="64"/>
      <c r="G188" s="64"/>
    </row>
    <row r="189" spans="1:7" ht="12.75">
      <c r="A189" s="29" t="s">
        <v>346</v>
      </c>
      <c r="B189" s="39" t="s">
        <v>233</v>
      </c>
      <c r="C189" s="123">
        <v>0</v>
      </c>
      <c r="D189" s="6">
        <v>0</v>
      </c>
      <c r="E189" s="88">
        <f aca="true" t="shared" si="5" ref="E189:E194">F189-D189</f>
        <v>200000</v>
      </c>
      <c r="F189" s="139">
        <v>200000</v>
      </c>
      <c r="G189" s="139">
        <v>0</v>
      </c>
    </row>
    <row r="190" spans="1:7" ht="12.75">
      <c r="A190" s="29" t="s">
        <v>211</v>
      </c>
      <c r="B190" s="39" t="s">
        <v>156</v>
      </c>
      <c r="C190" s="123">
        <v>0</v>
      </c>
      <c r="D190" s="6">
        <v>27063</v>
      </c>
      <c r="E190" s="88">
        <f t="shared" si="5"/>
        <v>32937</v>
      </c>
      <c r="F190" s="139">
        <v>60000</v>
      </c>
      <c r="G190" s="139">
        <v>0</v>
      </c>
    </row>
    <row r="191" spans="1:7" ht="12.75">
      <c r="A191" s="29" t="s">
        <v>92</v>
      </c>
      <c r="B191" s="39" t="s">
        <v>157</v>
      </c>
      <c r="C191" s="123">
        <v>0</v>
      </c>
      <c r="D191" s="6">
        <v>98900</v>
      </c>
      <c r="E191" s="88">
        <f t="shared" si="5"/>
        <v>11100</v>
      </c>
      <c r="F191" s="139">
        <v>110000</v>
      </c>
      <c r="G191" s="139">
        <v>0</v>
      </c>
    </row>
    <row r="192" spans="1:7" ht="12.75">
      <c r="A192" s="41" t="s">
        <v>374</v>
      </c>
      <c r="B192" s="58" t="s">
        <v>319</v>
      </c>
      <c r="C192" s="123">
        <v>0</v>
      </c>
      <c r="D192" s="6">
        <v>2450000</v>
      </c>
      <c r="E192" s="88">
        <f t="shared" si="5"/>
        <v>50000</v>
      </c>
      <c r="F192" s="139">
        <v>2500000</v>
      </c>
      <c r="G192" s="139">
        <v>0</v>
      </c>
    </row>
    <row r="193" spans="1:7" ht="12.75">
      <c r="A193" s="41" t="s">
        <v>359</v>
      </c>
      <c r="B193" s="58" t="s">
        <v>313</v>
      </c>
      <c r="C193" s="123">
        <v>0</v>
      </c>
      <c r="D193" s="6">
        <v>0</v>
      </c>
      <c r="E193" s="88">
        <f t="shared" si="5"/>
        <v>0</v>
      </c>
      <c r="F193" s="139">
        <v>0</v>
      </c>
      <c r="G193" s="139">
        <v>0</v>
      </c>
    </row>
    <row r="194" spans="1:7" ht="12.75">
      <c r="A194" s="41" t="s">
        <v>339</v>
      </c>
      <c r="B194" s="58" t="s">
        <v>338</v>
      </c>
      <c r="C194" s="123">
        <v>0</v>
      </c>
      <c r="D194" s="6">
        <v>0</v>
      </c>
      <c r="E194" s="88">
        <f t="shared" si="5"/>
        <v>300000</v>
      </c>
      <c r="F194" s="139">
        <v>300000</v>
      </c>
      <c r="G194" s="139">
        <v>0</v>
      </c>
    </row>
    <row r="195" spans="1:12" ht="12.75">
      <c r="A195" s="43" t="s">
        <v>77</v>
      </c>
      <c r="B195" s="5"/>
      <c r="C195" s="8">
        <f>SUM(C189:C194)</f>
        <v>0</v>
      </c>
      <c r="D195" s="8">
        <f>SUM(D189:D194)</f>
        <v>2575963</v>
      </c>
      <c r="E195" s="8">
        <f>SUM(E189:E194)</f>
        <v>594037</v>
      </c>
      <c r="F195" s="8">
        <f>SUM(F189:F194)</f>
        <v>3170000</v>
      </c>
      <c r="G195" s="8">
        <f>SUM(G189:G194)</f>
        <v>0</v>
      </c>
      <c r="L195" s="14"/>
    </row>
    <row r="196" spans="1:13" ht="12.75">
      <c r="A196" s="7" t="s">
        <v>34</v>
      </c>
      <c r="B196" s="7"/>
      <c r="C196" s="8">
        <f>C154+C187+C195</f>
        <v>3741264.17</v>
      </c>
      <c r="D196" s="8">
        <f>D154+D187+D195</f>
        <v>3722275.4699999997</v>
      </c>
      <c r="E196" s="8">
        <f>E154+E187+E195</f>
        <v>4439059.33</v>
      </c>
      <c r="F196" s="8">
        <f>F154+F187+F195</f>
        <v>8161334.8</v>
      </c>
      <c r="G196" s="8">
        <f>G154+G187+G195</f>
        <v>4859149.6899999995</v>
      </c>
      <c r="H196" s="14"/>
      <c r="M196" s="14"/>
    </row>
    <row r="197" spans="1:7" ht="4.5" customHeight="1">
      <c r="A197" s="4"/>
      <c r="B197" s="4"/>
      <c r="C197" s="10"/>
      <c r="D197" s="155"/>
      <c r="E197" s="155"/>
      <c r="F197" s="117"/>
      <c r="G197" s="4"/>
    </row>
    <row r="198" spans="1:7" ht="12.75">
      <c r="A198" s="2"/>
      <c r="B198" s="2"/>
      <c r="C198" s="2"/>
      <c r="D198" s="2"/>
      <c r="E198" s="2"/>
      <c r="F198" s="2"/>
      <c r="G198" s="170"/>
    </row>
    <row r="199" spans="1:7" ht="12.75">
      <c r="A199" s="2" t="s">
        <v>185</v>
      </c>
      <c r="B199" s="2" t="s">
        <v>186</v>
      </c>
      <c r="C199" s="2"/>
      <c r="D199" s="2"/>
      <c r="E199" s="161" t="s">
        <v>170</v>
      </c>
      <c r="F199" s="2"/>
      <c r="G199" s="59"/>
    </row>
    <row r="200" spans="1:7" ht="12.75">
      <c r="A200" s="2"/>
      <c r="B200" s="2"/>
      <c r="C200" s="2"/>
      <c r="D200" s="2"/>
      <c r="E200" s="161"/>
      <c r="F200" s="2"/>
      <c r="G200" s="2"/>
    </row>
    <row r="201" spans="1:7" ht="12.75">
      <c r="A201" s="333" t="s">
        <v>306</v>
      </c>
      <c r="B201" s="22" t="s">
        <v>277</v>
      </c>
      <c r="C201" s="22"/>
      <c r="D201" s="22"/>
      <c r="E201" s="162" t="s">
        <v>161</v>
      </c>
      <c r="F201" s="22"/>
      <c r="G201" s="2"/>
    </row>
    <row r="202" spans="1:7" ht="12.75">
      <c r="A202" s="334" t="s">
        <v>307</v>
      </c>
      <c r="B202" s="2" t="s">
        <v>373</v>
      </c>
      <c r="C202" s="2"/>
      <c r="D202" s="2"/>
      <c r="E202" s="161" t="s">
        <v>25</v>
      </c>
      <c r="F202" s="2"/>
      <c r="G202" s="2"/>
    </row>
    <row r="203" spans="1:6" ht="12.75">
      <c r="A203" s="2"/>
      <c r="B203" s="2"/>
      <c r="C203" s="2"/>
      <c r="D203" s="2"/>
      <c r="E203" s="2"/>
      <c r="F203" s="2"/>
    </row>
    <row r="204" spans="1:7" ht="12.75">
      <c r="A204" s="19" t="s">
        <v>208</v>
      </c>
      <c r="B204" s="2"/>
      <c r="C204" s="2"/>
      <c r="D204" s="2"/>
      <c r="E204" s="2"/>
      <c r="F204" s="2"/>
      <c r="G204" s="2"/>
    </row>
    <row r="205" spans="1:7" ht="12.75">
      <c r="A205" s="19"/>
      <c r="B205" s="2"/>
      <c r="C205" s="2"/>
      <c r="D205" s="2"/>
      <c r="E205" s="2"/>
      <c r="F205" s="2"/>
      <c r="G205" s="2"/>
    </row>
    <row r="206" spans="1:7" ht="12.75">
      <c r="A206" s="2"/>
      <c r="B206" s="2"/>
      <c r="C206" s="2"/>
      <c r="D206" s="2"/>
      <c r="E206" s="2"/>
      <c r="F206" s="2"/>
      <c r="G206" s="2"/>
    </row>
    <row r="207" spans="1:7" ht="15">
      <c r="A207" s="474" t="s">
        <v>165</v>
      </c>
      <c r="B207" s="474"/>
      <c r="C207" s="474"/>
      <c r="D207" s="474"/>
      <c r="E207" s="474"/>
      <c r="F207" s="474"/>
      <c r="G207" s="474"/>
    </row>
    <row r="208" spans="1:7" ht="15">
      <c r="A208" s="474" t="s">
        <v>172</v>
      </c>
      <c r="B208" s="474"/>
      <c r="C208" s="474"/>
      <c r="D208" s="474"/>
      <c r="E208" s="474"/>
      <c r="F208" s="474"/>
      <c r="G208" s="474"/>
    </row>
    <row r="209" spans="1:7" ht="12.75">
      <c r="A209" s="54"/>
      <c r="B209" s="54"/>
      <c r="C209" s="54"/>
      <c r="D209" s="54"/>
      <c r="E209" s="54"/>
      <c r="F209" s="54"/>
      <c r="G209" s="54"/>
    </row>
    <row r="210" spans="1:7" ht="12.75">
      <c r="A210" s="54"/>
      <c r="B210" s="54"/>
      <c r="C210" s="54"/>
      <c r="D210" s="54"/>
      <c r="E210" s="54"/>
      <c r="F210" s="54"/>
      <c r="G210" s="54"/>
    </row>
    <row r="211" spans="1:7" ht="12.75">
      <c r="A211" s="21" t="s">
        <v>52</v>
      </c>
      <c r="B211" s="21" t="s">
        <v>348</v>
      </c>
      <c r="C211" s="21"/>
      <c r="D211" s="21"/>
      <c r="E211" s="21"/>
      <c r="F211" s="2"/>
      <c r="G211" s="2"/>
    </row>
    <row r="212" spans="1:7" ht="12.75">
      <c r="A212" s="2"/>
      <c r="B212" s="2"/>
      <c r="C212" s="2"/>
      <c r="D212" s="2"/>
      <c r="E212" s="2"/>
      <c r="F212" s="2"/>
      <c r="G212" s="2"/>
    </row>
    <row r="213" spans="1:7" ht="12.75">
      <c r="A213" s="23"/>
      <c r="B213" s="23"/>
      <c r="C213" s="475" t="s">
        <v>79</v>
      </c>
      <c r="D213" s="479" t="s">
        <v>166</v>
      </c>
      <c r="E213" s="480"/>
      <c r="F213" s="481"/>
      <c r="G213" s="482" t="s">
        <v>73</v>
      </c>
    </row>
    <row r="214" spans="1:7" ht="12.75">
      <c r="A214" s="24" t="s">
        <v>167</v>
      </c>
      <c r="B214" s="304" t="s">
        <v>241</v>
      </c>
      <c r="C214" s="476"/>
      <c r="D214" s="24" t="s">
        <v>168</v>
      </c>
      <c r="E214" s="24" t="s">
        <v>169</v>
      </c>
      <c r="F214" s="477" t="s">
        <v>23</v>
      </c>
      <c r="G214" s="483"/>
    </row>
    <row r="215" spans="1:7" ht="12.75">
      <c r="A215" s="24"/>
      <c r="B215" s="24"/>
      <c r="C215" s="24" t="s">
        <v>53</v>
      </c>
      <c r="D215" s="24" t="s">
        <v>53</v>
      </c>
      <c r="E215" s="156" t="s">
        <v>86</v>
      </c>
      <c r="F215" s="478"/>
      <c r="G215" s="3" t="s">
        <v>54</v>
      </c>
    </row>
    <row r="216" spans="1:7" ht="12.75">
      <c r="A216" s="46">
        <v>1</v>
      </c>
      <c r="B216" s="46">
        <v>2</v>
      </c>
      <c r="C216" s="46">
        <v>3</v>
      </c>
      <c r="D216" s="90">
        <v>4</v>
      </c>
      <c r="E216" s="90">
        <v>5</v>
      </c>
      <c r="F216" s="90">
        <v>6</v>
      </c>
      <c r="G216" s="91">
        <v>7</v>
      </c>
    </row>
    <row r="217" spans="1:7" ht="12.75">
      <c r="A217" s="5"/>
      <c r="B217" s="5"/>
      <c r="C217" s="5"/>
      <c r="D217" s="116"/>
      <c r="E217" s="116"/>
      <c r="F217" s="116"/>
      <c r="G217" s="5"/>
    </row>
    <row r="218" spans="1:7" ht="15">
      <c r="A218" s="42" t="s">
        <v>43</v>
      </c>
      <c r="B218" s="72"/>
      <c r="C218" s="5"/>
      <c r="D218" s="116"/>
      <c r="E218" s="116"/>
      <c r="F218" s="116"/>
      <c r="G218" s="92"/>
    </row>
    <row r="219" spans="1:7" ht="12.75">
      <c r="A219" s="41" t="s">
        <v>222</v>
      </c>
      <c r="B219" s="157" t="s">
        <v>113</v>
      </c>
      <c r="C219" s="6">
        <v>0</v>
      </c>
      <c r="D219" s="6">
        <v>0</v>
      </c>
      <c r="E219" s="6">
        <v>0</v>
      </c>
      <c r="F219" s="6">
        <v>0</v>
      </c>
      <c r="G219" s="6">
        <v>0</v>
      </c>
    </row>
    <row r="220" spans="1:7" ht="12.75">
      <c r="A220" s="67" t="s">
        <v>100</v>
      </c>
      <c r="B220" s="157" t="s">
        <v>114</v>
      </c>
      <c r="C220" s="6">
        <v>0</v>
      </c>
      <c r="D220" s="6">
        <v>0</v>
      </c>
      <c r="E220" s="6">
        <v>0</v>
      </c>
      <c r="F220" s="6">
        <v>0</v>
      </c>
      <c r="G220" s="6">
        <v>0</v>
      </c>
    </row>
    <row r="221" spans="1:7" ht="12.75">
      <c r="A221" s="41" t="s">
        <v>42</v>
      </c>
      <c r="B221" s="157" t="s">
        <v>115</v>
      </c>
      <c r="C221" s="6">
        <v>0</v>
      </c>
      <c r="D221" s="6">
        <v>0</v>
      </c>
      <c r="E221" s="6">
        <v>0</v>
      </c>
      <c r="F221" s="6">
        <v>0</v>
      </c>
      <c r="G221" s="6">
        <v>0</v>
      </c>
    </row>
    <row r="222" spans="1:7" ht="12.75">
      <c r="A222" s="41" t="s">
        <v>3</v>
      </c>
      <c r="B222" s="62" t="s">
        <v>159</v>
      </c>
      <c r="C222" s="6">
        <v>0</v>
      </c>
      <c r="D222" s="6">
        <v>0</v>
      </c>
      <c r="E222" s="6">
        <v>0</v>
      </c>
      <c r="F222" s="6">
        <v>0</v>
      </c>
      <c r="G222" s="6">
        <v>0</v>
      </c>
    </row>
    <row r="223" spans="1:7" ht="12.75">
      <c r="A223" s="41" t="s">
        <v>18</v>
      </c>
      <c r="B223" s="157" t="s">
        <v>116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</row>
    <row r="224" spans="1:7" ht="12.75">
      <c r="A224" s="41" t="s">
        <v>175</v>
      </c>
      <c r="B224" s="157" t="s">
        <v>176</v>
      </c>
      <c r="C224" s="6">
        <v>0</v>
      </c>
      <c r="D224" s="6">
        <v>0</v>
      </c>
      <c r="E224" s="6">
        <v>0</v>
      </c>
      <c r="F224" s="6">
        <v>0</v>
      </c>
      <c r="G224" s="6">
        <v>0</v>
      </c>
    </row>
    <row r="225" spans="1:7" ht="12.75">
      <c r="A225" s="41" t="s">
        <v>27</v>
      </c>
      <c r="B225" s="157" t="s">
        <v>117</v>
      </c>
      <c r="C225" s="6">
        <v>0</v>
      </c>
      <c r="D225" s="6">
        <v>0</v>
      </c>
      <c r="E225" s="6">
        <v>0</v>
      </c>
      <c r="F225" s="6">
        <v>0</v>
      </c>
      <c r="G225" s="6">
        <v>0</v>
      </c>
    </row>
    <row r="226" spans="1:7" ht="12.75">
      <c r="A226" s="41" t="s">
        <v>96</v>
      </c>
      <c r="B226" s="157" t="s">
        <v>118</v>
      </c>
      <c r="C226" s="6">
        <v>0</v>
      </c>
      <c r="D226" s="6">
        <v>0</v>
      </c>
      <c r="E226" s="6">
        <v>0</v>
      </c>
      <c r="F226" s="6">
        <v>0</v>
      </c>
      <c r="G226" s="6">
        <v>0</v>
      </c>
    </row>
    <row r="227" spans="1:7" ht="12.75">
      <c r="A227" s="41" t="s">
        <v>173</v>
      </c>
      <c r="B227" s="157" t="s">
        <v>174</v>
      </c>
      <c r="C227" s="6">
        <v>0</v>
      </c>
      <c r="D227" s="6">
        <v>0</v>
      </c>
      <c r="E227" s="6">
        <v>0</v>
      </c>
      <c r="F227" s="6">
        <v>0</v>
      </c>
      <c r="G227" s="6">
        <v>0</v>
      </c>
    </row>
    <row r="228" spans="1:7" ht="12.75">
      <c r="A228" s="41" t="s">
        <v>232</v>
      </c>
      <c r="B228" s="157" t="s">
        <v>119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</row>
    <row r="229" spans="1:7" ht="12.75">
      <c r="A229" s="41" t="s">
        <v>28</v>
      </c>
      <c r="B229" s="157" t="s">
        <v>120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</row>
    <row r="230" spans="1:7" ht="12.75">
      <c r="A230" s="41" t="s">
        <v>69</v>
      </c>
      <c r="B230" s="157" t="s">
        <v>121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</row>
    <row r="231" spans="1:9" ht="12.75">
      <c r="A231" s="29" t="s">
        <v>122</v>
      </c>
      <c r="B231" s="157" t="s">
        <v>123</v>
      </c>
      <c r="C231" s="6">
        <v>0</v>
      </c>
      <c r="D231" s="6">
        <v>0</v>
      </c>
      <c r="E231" s="6">
        <v>0</v>
      </c>
      <c r="F231" s="6">
        <v>0</v>
      </c>
      <c r="G231" s="6">
        <v>0</v>
      </c>
      <c r="I231" s="14"/>
    </row>
    <row r="232" spans="1:7" ht="12.75">
      <c r="A232" s="41" t="s">
        <v>68</v>
      </c>
      <c r="B232" s="157" t="s">
        <v>124</v>
      </c>
      <c r="C232" s="6">
        <v>0</v>
      </c>
      <c r="D232" s="6">
        <v>0</v>
      </c>
      <c r="E232" s="6">
        <v>0</v>
      </c>
      <c r="F232" s="6">
        <v>0</v>
      </c>
      <c r="G232" s="6">
        <v>0</v>
      </c>
    </row>
    <row r="233" spans="1:7" ht="12.75">
      <c r="A233" s="41" t="s">
        <v>99</v>
      </c>
      <c r="B233" s="157" t="s">
        <v>125</v>
      </c>
      <c r="C233" s="6">
        <v>0</v>
      </c>
      <c r="D233" s="6">
        <v>0</v>
      </c>
      <c r="E233" s="6">
        <v>0</v>
      </c>
      <c r="F233" s="6">
        <v>0</v>
      </c>
      <c r="G233" s="6">
        <v>0</v>
      </c>
    </row>
    <row r="234" spans="1:9" ht="12.75">
      <c r="A234" s="18" t="s">
        <v>193</v>
      </c>
      <c r="B234" s="33"/>
      <c r="C234" s="8">
        <f>SUM(C219:C233)</f>
        <v>0</v>
      </c>
      <c r="D234" s="8">
        <f>SUM(D219:D233)</f>
        <v>0</v>
      </c>
      <c r="E234" s="8">
        <f>SUM(E219:E233)</f>
        <v>0</v>
      </c>
      <c r="F234" s="8">
        <f>SUM(F219:F233)</f>
        <v>0</v>
      </c>
      <c r="G234" s="140">
        <f>SUM(G219:G233)</f>
        <v>0</v>
      </c>
      <c r="H234" s="14"/>
      <c r="I234" s="14"/>
    </row>
    <row r="235" spans="1:7" ht="12.75">
      <c r="A235" s="5"/>
      <c r="B235" s="33"/>
      <c r="C235" s="6"/>
      <c r="D235" s="6"/>
      <c r="E235" s="6"/>
      <c r="F235" s="6"/>
      <c r="G235" s="6"/>
    </row>
    <row r="236" spans="1:7" ht="12.75">
      <c r="A236" s="5"/>
      <c r="B236" s="33"/>
      <c r="C236" s="6"/>
      <c r="D236" s="6"/>
      <c r="E236" s="6"/>
      <c r="F236" s="6"/>
      <c r="G236" s="6"/>
    </row>
    <row r="237" spans="1:7" ht="19.5" customHeight="1">
      <c r="A237" s="179"/>
      <c r="B237" s="182"/>
      <c r="C237" s="183"/>
      <c r="D237" s="183"/>
      <c r="E237" s="183"/>
      <c r="F237" s="183"/>
      <c r="G237" s="183"/>
    </row>
    <row r="238" spans="1:7" ht="17.25" customHeight="1">
      <c r="A238" s="2"/>
      <c r="B238" s="36"/>
      <c r="C238" s="59"/>
      <c r="D238" s="59"/>
      <c r="E238" s="59"/>
      <c r="F238" s="59"/>
      <c r="G238" s="59"/>
    </row>
    <row r="239" spans="1:7" ht="12.75">
      <c r="A239" s="2"/>
      <c r="B239" s="36"/>
      <c r="C239" s="59"/>
      <c r="D239" s="59"/>
      <c r="E239" s="59"/>
      <c r="F239" s="59"/>
      <c r="G239" s="59"/>
    </row>
    <row r="240" spans="1:7" ht="8.25" customHeight="1">
      <c r="A240" s="2"/>
      <c r="B240" s="36"/>
      <c r="C240" s="59"/>
      <c r="D240" s="59"/>
      <c r="E240" s="59"/>
      <c r="F240" s="59"/>
      <c r="G240" s="59"/>
    </row>
    <row r="241" spans="1:7" ht="12.75">
      <c r="A241" s="68"/>
      <c r="B241" s="184"/>
      <c r="C241" s="185"/>
      <c r="D241" s="185"/>
      <c r="E241" s="185"/>
      <c r="F241" s="185"/>
      <c r="G241" s="185"/>
    </row>
    <row r="242" spans="1:7" ht="12.75">
      <c r="A242" s="23"/>
      <c r="B242" s="23"/>
      <c r="C242" s="475" t="s">
        <v>79</v>
      </c>
      <c r="D242" s="479" t="s">
        <v>166</v>
      </c>
      <c r="E242" s="480"/>
      <c r="F242" s="481"/>
      <c r="G242" s="482" t="s">
        <v>73</v>
      </c>
    </row>
    <row r="243" spans="1:7" ht="12.75">
      <c r="A243" s="24" t="s">
        <v>167</v>
      </c>
      <c r="B243" s="304" t="s">
        <v>241</v>
      </c>
      <c r="C243" s="476"/>
      <c r="D243" s="24" t="s">
        <v>168</v>
      </c>
      <c r="E243" s="24" t="s">
        <v>169</v>
      </c>
      <c r="F243" s="477" t="s">
        <v>23</v>
      </c>
      <c r="G243" s="483"/>
    </row>
    <row r="244" spans="1:7" ht="12.75">
      <c r="A244" s="24"/>
      <c r="B244" s="24"/>
      <c r="C244" s="24" t="s">
        <v>160</v>
      </c>
      <c r="D244" s="24" t="s">
        <v>53</v>
      </c>
      <c r="E244" s="156" t="s">
        <v>86</v>
      </c>
      <c r="F244" s="478"/>
      <c r="G244" s="3" t="s">
        <v>54</v>
      </c>
    </row>
    <row r="245" spans="1:7" ht="12.75">
      <c r="A245" s="46">
        <v>1</v>
      </c>
      <c r="B245" s="46">
        <v>2</v>
      </c>
      <c r="C245" s="46">
        <v>3</v>
      </c>
      <c r="D245" s="90">
        <v>4</v>
      </c>
      <c r="E245" s="90">
        <v>5</v>
      </c>
      <c r="F245" s="90">
        <v>6</v>
      </c>
      <c r="G245" s="91">
        <v>7</v>
      </c>
    </row>
    <row r="246" spans="1:7" ht="12.75">
      <c r="A246" s="5"/>
      <c r="B246" s="33"/>
      <c r="C246" s="6"/>
      <c r="D246" s="6"/>
      <c r="E246" s="6"/>
      <c r="F246" s="6"/>
      <c r="G246" s="6"/>
    </row>
    <row r="247" spans="1:7" ht="12.75">
      <c r="A247" s="32" t="s">
        <v>189</v>
      </c>
      <c r="B247" s="72"/>
      <c r="C247" s="139"/>
      <c r="D247" s="6"/>
      <c r="E247" s="6"/>
      <c r="F247" s="6"/>
      <c r="G247" s="6"/>
    </row>
    <row r="248" spans="1:7" ht="12.75">
      <c r="A248" s="29" t="s">
        <v>191</v>
      </c>
      <c r="B248" s="62" t="s">
        <v>126</v>
      </c>
      <c r="C248" s="6">
        <v>39210</v>
      </c>
      <c r="D248" s="123">
        <v>0</v>
      </c>
      <c r="E248" s="6">
        <f>F248-D248</f>
        <v>50000</v>
      </c>
      <c r="F248" s="6">
        <v>50000</v>
      </c>
      <c r="G248" s="6">
        <v>50000</v>
      </c>
    </row>
    <row r="249" spans="1:7" ht="12.75">
      <c r="A249" s="41" t="s">
        <v>19</v>
      </c>
      <c r="B249" s="62" t="s">
        <v>127</v>
      </c>
      <c r="C249" s="6">
        <v>39720</v>
      </c>
      <c r="D249" s="123">
        <v>0</v>
      </c>
      <c r="E249" s="6">
        <f aca="true" t="shared" si="6" ref="E249:E262">F249-D249</f>
        <v>50000</v>
      </c>
      <c r="F249" s="6">
        <v>50000</v>
      </c>
      <c r="G249" s="6">
        <v>50000</v>
      </c>
    </row>
    <row r="250" spans="1:7" ht="12.75">
      <c r="A250" s="41" t="s">
        <v>2</v>
      </c>
      <c r="B250" s="62" t="s">
        <v>128</v>
      </c>
      <c r="C250" s="6">
        <v>66994.88</v>
      </c>
      <c r="D250" s="123">
        <v>11298</v>
      </c>
      <c r="E250" s="6">
        <f t="shared" si="6"/>
        <v>118702</v>
      </c>
      <c r="F250" s="6">
        <v>130000</v>
      </c>
      <c r="G250" s="6">
        <v>130000</v>
      </c>
    </row>
    <row r="251" spans="1:7" ht="12.75">
      <c r="A251" s="41" t="s">
        <v>336</v>
      </c>
      <c r="B251" s="62" t="s">
        <v>219</v>
      </c>
      <c r="C251" s="6">
        <v>201305</v>
      </c>
      <c r="D251" s="123">
        <v>10175</v>
      </c>
      <c r="E251" s="6">
        <f t="shared" si="6"/>
        <v>219825</v>
      </c>
      <c r="F251" s="6">
        <v>230000</v>
      </c>
      <c r="G251" s="6">
        <v>230000</v>
      </c>
    </row>
    <row r="252" spans="1:7" ht="12.75">
      <c r="A252" s="105" t="s">
        <v>201</v>
      </c>
      <c r="B252" s="62" t="s">
        <v>130</v>
      </c>
      <c r="C252" s="6">
        <v>100000</v>
      </c>
      <c r="D252" s="123">
        <v>0</v>
      </c>
      <c r="E252" s="6">
        <f t="shared" si="6"/>
        <v>100000</v>
      </c>
      <c r="F252" s="6">
        <v>100000</v>
      </c>
      <c r="G252" s="6">
        <v>100000</v>
      </c>
    </row>
    <row r="253" spans="1:7" ht="12.75">
      <c r="A253" s="29" t="s">
        <v>63</v>
      </c>
      <c r="B253" s="62" t="s">
        <v>131</v>
      </c>
      <c r="C253" s="6">
        <v>0</v>
      </c>
      <c r="D253" s="123">
        <v>0</v>
      </c>
      <c r="E253" s="6">
        <f t="shared" si="6"/>
        <v>2000</v>
      </c>
      <c r="F253" s="6">
        <v>2000</v>
      </c>
      <c r="G253" s="6">
        <v>2000</v>
      </c>
    </row>
    <row r="254" spans="1:7" ht="12.75">
      <c r="A254" s="29" t="s">
        <v>101</v>
      </c>
      <c r="B254" s="62" t="s">
        <v>132</v>
      </c>
      <c r="C254" s="88">
        <v>606039.74</v>
      </c>
      <c r="D254" s="206">
        <v>944355.03</v>
      </c>
      <c r="E254" s="6">
        <f t="shared" si="6"/>
        <v>55644.96999999997</v>
      </c>
      <c r="F254" s="88">
        <v>1000000</v>
      </c>
      <c r="G254" s="88">
        <v>2000000</v>
      </c>
    </row>
    <row r="255" spans="1:7" ht="12.75">
      <c r="A255" s="29" t="s">
        <v>227</v>
      </c>
      <c r="B255" s="62" t="s">
        <v>135</v>
      </c>
      <c r="C255" s="6">
        <v>84000</v>
      </c>
      <c r="D255" s="123">
        <v>0</v>
      </c>
      <c r="E255" s="6">
        <f t="shared" si="6"/>
        <v>84000</v>
      </c>
      <c r="F255" s="6">
        <v>84000</v>
      </c>
      <c r="G255" s="6">
        <v>0</v>
      </c>
    </row>
    <row r="256" spans="1:7" ht="12.75">
      <c r="A256" s="29" t="s">
        <v>251</v>
      </c>
      <c r="B256" s="62" t="s">
        <v>252</v>
      </c>
      <c r="C256" s="283">
        <v>0</v>
      </c>
      <c r="D256" s="123">
        <v>0</v>
      </c>
      <c r="E256" s="6">
        <f t="shared" si="6"/>
        <v>0</v>
      </c>
      <c r="F256" s="283">
        <v>0</v>
      </c>
      <c r="G256" s="283">
        <v>0</v>
      </c>
    </row>
    <row r="257" spans="1:7" ht="12.75">
      <c r="A257" s="29" t="s">
        <v>253</v>
      </c>
      <c r="B257" s="62" t="s">
        <v>254</v>
      </c>
      <c r="C257" s="283">
        <v>1504000</v>
      </c>
      <c r="D257" s="123">
        <v>406991</v>
      </c>
      <c r="E257" s="6">
        <f t="shared" si="6"/>
        <v>1747009</v>
      </c>
      <c r="F257" s="283">
        <v>2154000</v>
      </c>
      <c r="G257" s="283">
        <f>1154000+84000</f>
        <v>1238000</v>
      </c>
    </row>
    <row r="258" spans="1:7" ht="12.75">
      <c r="A258" s="29" t="s">
        <v>146</v>
      </c>
      <c r="B258" s="62" t="s">
        <v>147</v>
      </c>
      <c r="C258" s="6">
        <v>200000</v>
      </c>
      <c r="D258" s="123">
        <v>0</v>
      </c>
      <c r="E258" s="6">
        <f t="shared" si="6"/>
        <v>200000</v>
      </c>
      <c r="F258" s="6">
        <v>200000</v>
      </c>
      <c r="G258" s="6">
        <v>200000</v>
      </c>
    </row>
    <row r="259" spans="1:7" ht="12.75">
      <c r="A259" s="131" t="s">
        <v>148</v>
      </c>
      <c r="B259" s="190" t="s">
        <v>149</v>
      </c>
      <c r="C259" s="6">
        <v>0</v>
      </c>
      <c r="D259" s="123">
        <v>0</v>
      </c>
      <c r="E259" s="6">
        <f t="shared" si="6"/>
        <v>0</v>
      </c>
      <c r="F259" s="6">
        <v>0</v>
      </c>
      <c r="G259" s="6">
        <v>0</v>
      </c>
    </row>
    <row r="260" spans="1:7" ht="12.75">
      <c r="A260" s="29" t="s">
        <v>5</v>
      </c>
      <c r="B260" s="62" t="s">
        <v>138</v>
      </c>
      <c r="C260" s="6">
        <v>0</v>
      </c>
      <c r="D260" s="123">
        <v>0</v>
      </c>
      <c r="E260" s="6">
        <f t="shared" si="6"/>
        <v>0</v>
      </c>
      <c r="F260" s="6">
        <v>0</v>
      </c>
      <c r="G260" s="6">
        <v>0</v>
      </c>
    </row>
    <row r="261" spans="1:7" ht="12.75">
      <c r="A261" s="29" t="s">
        <v>66</v>
      </c>
      <c r="B261" s="34" t="s">
        <v>139</v>
      </c>
      <c r="C261" s="6">
        <v>0</v>
      </c>
      <c r="D261" s="123">
        <v>0</v>
      </c>
      <c r="E261" s="6">
        <f t="shared" si="6"/>
        <v>0</v>
      </c>
      <c r="F261" s="6">
        <v>0</v>
      </c>
      <c r="G261" s="6">
        <v>0</v>
      </c>
    </row>
    <row r="262" spans="1:11" ht="12.75">
      <c r="A262" s="41" t="s">
        <v>58</v>
      </c>
      <c r="B262" s="63" t="s">
        <v>153</v>
      </c>
      <c r="C262" s="6">
        <v>0</v>
      </c>
      <c r="D262" s="123">
        <v>0</v>
      </c>
      <c r="E262" s="6">
        <f t="shared" si="6"/>
        <v>0</v>
      </c>
      <c r="F262" s="6">
        <v>0</v>
      </c>
      <c r="G262" s="6">
        <v>0</v>
      </c>
      <c r="J262" s="14"/>
      <c r="K262" s="14"/>
    </row>
    <row r="263" spans="1:11" ht="11.25" customHeight="1">
      <c r="A263" s="43" t="s">
        <v>192</v>
      </c>
      <c r="B263" s="5"/>
      <c r="C263" s="140">
        <f>SUM(C248:C262)</f>
        <v>2841269.62</v>
      </c>
      <c r="D263" s="284">
        <f>SUM(D248:D262)</f>
        <v>1372819.03</v>
      </c>
      <c r="E263" s="8">
        <f>SUM(E248:E262)</f>
        <v>2627180.9699999997</v>
      </c>
      <c r="F263" s="8">
        <f>SUM(F248:F262)</f>
        <v>4000000</v>
      </c>
      <c r="G263" s="8">
        <f>SUM(G248:G262)</f>
        <v>4000000</v>
      </c>
      <c r="I263" s="14"/>
      <c r="J263" s="14"/>
      <c r="K263" s="14"/>
    </row>
    <row r="264" spans="1:7" ht="6" customHeight="1">
      <c r="A264" s="18"/>
      <c r="B264" s="5"/>
      <c r="C264" s="140"/>
      <c r="D264" s="284"/>
      <c r="E264" s="8"/>
      <c r="F264" s="8"/>
      <c r="G264" s="8"/>
    </row>
    <row r="265" spans="1:7" ht="12.75">
      <c r="A265" s="43" t="s">
        <v>44</v>
      </c>
      <c r="B265" s="5"/>
      <c r="C265" s="77"/>
      <c r="D265" s="145"/>
      <c r="E265" s="64"/>
      <c r="F265" s="64"/>
      <c r="G265" s="64"/>
    </row>
    <row r="266" spans="1:7" ht="12.75">
      <c r="A266" s="29" t="s">
        <v>92</v>
      </c>
      <c r="B266" s="39" t="s">
        <v>157</v>
      </c>
      <c r="C266" s="6">
        <v>0</v>
      </c>
      <c r="D266" s="123">
        <v>0</v>
      </c>
      <c r="E266" s="88">
        <f>F266-D266</f>
        <v>50000</v>
      </c>
      <c r="F266" s="6">
        <v>50000</v>
      </c>
      <c r="G266" s="6">
        <v>0</v>
      </c>
    </row>
    <row r="267" spans="1:7" ht="12.75">
      <c r="A267" s="131" t="s">
        <v>315</v>
      </c>
      <c r="B267" s="323" t="s">
        <v>316</v>
      </c>
      <c r="C267" s="123">
        <v>32000</v>
      </c>
      <c r="D267" s="283">
        <v>269208.8</v>
      </c>
      <c r="E267" s="88">
        <f>F267-D267</f>
        <v>680791.2</v>
      </c>
      <c r="F267" s="123">
        <v>950000</v>
      </c>
      <c r="G267" s="123">
        <v>0</v>
      </c>
    </row>
    <row r="268" spans="1:12" ht="12.75">
      <c r="A268" s="29" t="s">
        <v>110</v>
      </c>
      <c r="B268" s="39" t="s">
        <v>158</v>
      </c>
      <c r="C268" s="123">
        <v>0</v>
      </c>
      <c r="D268" s="123"/>
      <c r="E268" s="88">
        <f>F268-D268</f>
        <v>0</v>
      </c>
      <c r="F268" s="123">
        <v>0</v>
      </c>
      <c r="G268" s="123">
        <v>0</v>
      </c>
      <c r="L268" s="14"/>
    </row>
    <row r="269" spans="1:12" ht="12.75">
      <c r="A269" s="43" t="s">
        <v>77</v>
      </c>
      <c r="B269" s="5"/>
      <c r="C269" s="140">
        <f>SUM(C266:C268)</f>
        <v>32000</v>
      </c>
      <c r="D269" s="284">
        <f>SUM(D266:D268)</f>
        <v>269208.8</v>
      </c>
      <c r="E269" s="8">
        <f>SUM(E266:E268)</f>
        <v>730791.2</v>
      </c>
      <c r="F269" s="8">
        <f>SUM(F266:F268)</f>
        <v>1000000</v>
      </c>
      <c r="G269" s="8">
        <f>SUM(G266:G268)</f>
        <v>0</v>
      </c>
      <c r="J269" s="14"/>
      <c r="K269" s="14"/>
      <c r="L269" s="14"/>
    </row>
    <row r="270" spans="1:13" ht="6" customHeight="1">
      <c r="A270" s="5"/>
      <c r="B270" s="5"/>
      <c r="C270" s="6"/>
      <c r="D270" s="123"/>
      <c r="E270" s="6"/>
      <c r="F270" s="6"/>
      <c r="G270" s="6"/>
      <c r="M270" s="14"/>
    </row>
    <row r="271" spans="1:13" ht="12.75">
      <c r="A271" s="7" t="s">
        <v>34</v>
      </c>
      <c r="B271" s="7"/>
      <c r="C271" s="8">
        <f>C234+C263+C269</f>
        <v>2873269.62</v>
      </c>
      <c r="D271" s="284">
        <f>D234+D263+D269</f>
        <v>1642027.83</v>
      </c>
      <c r="E271" s="8">
        <f>E234+E263+E269</f>
        <v>3357972.17</v>
      </c>
      <c r="F271" s="8">
        <f>F234+F263+F269</f>
        <v>5000000</v>
      </c>
      <c r="G271" s="8">
        <f>G234+G263+G269</f>
        <v>4000000</v>
      </c>
      <c r="H271" s="14"/>
      <c r="M271" s="14"/>
    </row>
    <row r="272" spans="1:7" ht="12.75">
      <c r="A272" s="4"/>
      <c r="B272" s="4"/>
      <c r="C272" s="10"/>
      <c r="D272" s="155"/>
      <c r="E272" s="155"/>
      <c r="F272" s="117"/>
      <c r="G272" s="4"/>
    </row>
    <row r="273" spans="1:7" ht="12.75">
      <c r="A273" s="2"/>
      <c r="B273" s="2"/>
      <c r="C273" s="2"/>
      <c r="D273" s="2"/>
      <c r="E273" s="2"/>
      <c r="F273" s="2"/>
      <c r="G273" s="59"/>
    </row>
    <row r="274" spans="1:7" ht="12.75">
      <c r="A274" s="2" t="s">
        <v>185</v>
      </c>
      <c r="B274" s="2" t="s">
        <v>186</v>
      </c>
      <c r="C274" s="2"/>
      <c r="D274" s="2"/>
      <c r="E274" s="161" t="s">
        <v>170</v>
      </c>
      <c r="F274" s="2"/>
      <c r="G274" s="59"/>
    </row>
    <row r="275" spans="1:7" ht="12.75">
      <c r="A275" s="2"/>
      <c r="B275" s="2"/>
      <c r="C275" s="2"/>
      <c r="D275" s="2"/>
      <c r="E275" s="161"/>
      <c r="F275" s="2"/>
      <c r="G275" s="2"/>
    </row>
    <row r="276" spans="1:7" ht="12.75">
      <c r="A276" s="2"/>
      <c r="B276" s="2"/>
      <c r="C276" s="2"/>
      <c r="D276" s="2"/>
      <c r="E276" s="161"/>
      <c r="F276" s="2"/>
      <c r="G276" s="2"/>
    </row>
    <row r="277" spans="1:7" ht="12.75">
      <c r="A277" s="2"/>
      <c r="B277" s="22"/>
      <c r="C277" s="22"/>
      <c r="D277" s="22"/>
      <c r="E277" s="162"/>
      <c r="F277" s="22"/>
      <c r="G277" s="2"/>
    </row>
    <row r="278" spans="1:7" ht="12.75">
      <c r="A278" s="98" t="s">
        <v>182</v>
      </c>
      <c r="B278" s="22" t="s">
        <v>277</v>
      </c>
      <c r="C278" s="22"/>
      <c r="D278" s="22"/>
      <c r="E278" s="162" t="s">
        <v>161</v>
      </c>
      <c r="F278" s="22"/>
      <c r="G278" s="2"/>
    </row>
    <row r="279" spans="1:7" ht="12.75">
      <c r="A279" s="74" t="s">
        <v>285</v>
      </c>
      <c r="B279" s="2" t="s">
        <v>373</v>
      </c>
      <c r="C279" s="2"/>
      <c r="D279" s="2"/>
      <c r="E279" s="161" t="s">
        <v>25</v>
      </c>
      <c r="F279" s="2"/>
      <c r="G279" s="2"/>
    </row>
    <row r="280" spans="1:7" ht="12.75">
      <c r="A280" s="74"/>
      <c r="B280" s="2"/>
      <c r="C280" s="2"/>
      <c r="D280" s="2"/>
      <c r="E280" s="161"/>
      <c r="F280" s="2"/>
      <c r="G280" s="2"/>
    </row>
    <row r="281" spans="1:7" ht="12.75">
      <c r="A281" s="19" t="s">
        <v>208</v>
      </c>
      <c r="B281" s="2"/>
      <c r="C281" s="2"/>
      <c r="D281" s="2"/>
      <c r="E281" s="2"/>
      <c r="F281" s="2"/>
      <c r="G281" s="2"/>
    </row>
    <row r="282" spans="1:7" ht="12.75">
      <c r="A282" s="19"/>
      <c r="B282" s="2"/>
      <c r="C282" s="2"/>
      <c r="D282" s="2"/>
      <c r="E282" s="2"/>
      <c r="F282" s="2"/>
      <c r="G282" s="2"/>
    </row>
    <row r="283" spans="1:7" ht="15">
      <c r="A283" s="474" t="s">
        <v>165</v>
      </c>
      <c r="B283" s="474"/>
      <c r="C283" s="474"/>
      <c r="D283" s="474"/>
      <c r="E283" s="474"/>
      <c r="F283" s="474"/>
      <c r="G283" s="474"/>
    </row>
    <row r="284" spans="1:7" ht="15">
      <c r="A284" s="474" t="s">
        <v>172</v>
      </c>
      <c r="B284" s="474"/>
      <c r="C284" s="474"/>
      <c r="D284" s="474"/>
      <c r="E284" s="474"/>
      <c r="F284" s="474"/>
      <c r="G284" s="474"/>
    </row>
    <row r="285" spans="1:7" ht="12.75">
      <c r="A285" s="54"/>
      <c r="B285" s="54"/>
      <c r="C285" s="54"/>
      <c r="D285" s="54"/>
      <c r="E285" s="54"/>
      <c r="F285" s="54"/>
      <c r="G285" s="54"/>
    </row>
    <row r="286" spans="1:7" ht="12.75">
      <c r="A286" s="54"/>
      <c r="B286" s="54"/>
      <c r="C286" s="54"/>
      <c r="D286" s="54"/>
      <c r="E286" s="54"/>
      <c r="F286" s="54"/>
      <c r="G286" s="54"/>
    </row>
    <row r="287" spans="1:7" ht="12.75">
      <c r="A287" s="21" t="s">
        <v>52</v>
      </c>
      <c r="B287" s="21" t="s">
        <v>366</v>
      </c>
      <c r="C287" s="21"/>
      <c r="D287" s="21"/>
      <c r="E287" s="21"/>
      <c r="F287" s="2"/>
      <c r="G287" s="2"/>
    </row>
    <row r="288" spans="1:7" ht="12.75">
      <c r="A288" s="2"/>
      <c r="B288" s="2"/>
      <c r="C288" s="2"/>
      <c r="D288" s="2"/>
      <c r="E288" s="2"/>
      <c r="F288" s="2"/>
      <c r="G288" s="2"/>
    </row>
    <row r="289" spans="1:7" ht="12.75">
      <c r="A289" s="23"/>
      <c r="B289" s="23"/>
      <c r="C289" s="475" t="s">
        <v>79</v>
      </c>
      <c r="D289" s="479" t="s">
        <v>166</v>
      </c>
      <c r="E289" s="480"/>
      <c r="F289" s="481"/>
      <c r="G289" s="482" t="s">
        <v>73</v>
      </c>
    </row>
    <row r="290" spans="1:7" ht="12.75">
      <c r="A290" s="24" t="s">
        <v>167</v>
      </c>
      <c r="B290" s="304" t="s">
        <v>241</v>
      </c>
      <c r="C290" s="476"/>
      <c r="D290" s="24" t="s">
        <v>168</v>
      </c>
      <c r="E290" s="24" t="s">
        <v>169</v>
      </c>
      <c r="F290" s="477" t="s">
        <v>23</v>
      </c>
      <c r="G290" s="483"/>
    </row>
    <row r="291" spans="1:7" ht="12.75">
      <c r="A291" s="24"/>
      <c r="B291" s="24"/>
      <c r="C291" s="24" t="s">
        <v>53</v>
      </c>
      <c r="D291" s="24" t="s">
        <v>53</v>
      </c>
      <c r="E291" s="156" t="s">
        <v>86</v>
      </c>
      <c r="F291" s="478"/>
      <c r="G291" s="3" t="s">
        <v>54</v>
      </c>
    </row>
    <row r="292" spans="1:7" ht="12.75">
      <c r="A292" s="46">
        <v>1</v>
      </c>
      <c r="B292" s="46">
        <v>2</v>
      </c>
      <c r="C292" s="46">
        <v>3</v>
      </c>
      <c r="D292" s="90">
        <v>4</v>
      </c>
      <c r="E292" s="90">
        <v>5</v>
      </c>
      <c r="F292" s="90">
        <v>6</v>
      </c>
      <c r="G292" s="91">
        <v>7</v>
      </c>
    </row>
    <row r="293" spans="1:7" ht="12.75">
      <c r="A293" s="5"/>
      <c r="B293" s="5"/>
      <c r="C293" s="5"/>
      <c r="D293" s="116"/>
      <c r="E293" s="116"/>
      <c r="F293" s="116"/>
      <c r="G293" s="5"/>
    </row>
    <row r="294" spans="1:7" ht="15">
      <c r="A294" s="42" t="s">
        <v>43</v>
      </c>
      <c r="B294" s="72"/>
      <c r="C294" s="5"/>
      <c r="D294" s="116"/>
      <c r="E294" s="116"/>
      <c r="F294" s="116"/>
      <c r="G294" s="92"/>
    </row>
    <row r="295" spans="1:7" ht="12.75">
      <c r="A295" s="41" t="s">
        <v>222</v>
      </c>
      <c r="B295" s="157" t="s">
        <v>113</v>
      </c>
      <c r="C295" s="6">
        <v>0</v>
      </c>
      <c r="D295" s="6">
        <v>0</v>
      </c>
      <c r="E295" s="88">
        <f>F295-D295</f>
        <v>461076</v>
      </c>
      <c r="F295" s="6">
        <v>461076</v>
      </c>
      <c r="G295" s="6">
        <v>476592</v>
      </c>
    </row>
    <row r="296" spans="1:7" ht="12.75">
      <c r="A296" s="41" t="s">
        <v>204</v>
      </c>
      <c r="B296" s="157" t="s">
        <v>114</v>
      </c>
      <c r="C296" s="6">
        <v>0</v>
      </c>
      <c r="D296" s="6">
        <v>0</v>
      </c>
      <c r="E296" s="88">
        <f aca="true" t="shared" si="7" ref="E296:E309">F296-D296</f>
        <v>0</v>
      </c>
      <c r="F296" s="6">
        <v>0</v>
      </c>
      <c r="G296" s="6">
        <v>0</v>
      </c>
    </row>
    <row r="297" spans="1:7" ht="12.75">
      <c r="A297" s="29" t="s">
        <v>100</v>
      </c>
      <c r="B297" s="157" t="s">
        <v>114</v>
      </c>
      <c r="C297" s="6">
        <v>0</v>
      </c>
      <c r="D297" s="6">
        <v>0</v>
      </c>
      <c r="E297" s="88">
        <f t="shared" si="7"/>
        <v>24000</v>
      </c>
      <c r="F297" s="6">
        <v>24000</v>
      </c>
      <c r="G297" s="6">
        <v>24000</v>
      </c>
    </row>
    <row r="298" spans="1:7" ht="12.75">
      <c r="A298" s="41" t="s">
        <v>42</v>
      </c>
      <c r="B298" s="157" t="s">
        <v>115</v>
      </c>
      <c r="C298" s="6">
        <v>0</v>
      </c>
      <c r="D298" s="6">
        <v>0</v>
      </c>
      <c r="E298" s="88">
        <f t="shared" si="7"/>
        <v>0</v>
      </c>
      <c r="F298" s="6">
        <v>0</v>
      </c>
      <c r="G298" s="6">
        <v>0</v>
      </c>
    </row>
    <row r="299" spans="1:7" ht="12.75">
      <c r="A299" s="41" t="s">
        <v>18</v>
      </c>
      <c r="B299" s="157" t="s">
        <v>116</v>
      </c>
      <c r="C299" s="6">
        <v>0</v>
      </c>
      <c r="D299" s="6">
        <v>0</v>
      </c>
      <c r="E299" s="88">
        <f t="shared" si="7"/>
        <v>6000</v>
      </c>
      <c r="F299" s="6">
        <v>6000</v>
      </c>
      <c r="G299" s="6">
        <v>6000</v>
      </c>
    </row>
    <row r="300" spans="1:7" ht="12.75">
      <c r="A300" s="41" t="s">
        <v>175</v>
      </c>
      <c r="B300" s="157" t="s">
        <v>176</v>
      </c>
      <c r="C300" s="6">
        <v>0</v>
      </c>
      <c r="D300" s="6">
        <v>0</v>
      </c>
      <c r="E300" s="88">
        <f t="shared" si="7"/>
        <v>5000</v>
      </c>
      <c r="F300" s="64">
        <v>5000</v>
      </c>
      <c r="G300" s="64">
        <v>5000</v>
      </c>
    </row>
    <row r="301" spans="1:7" ht="12.75">
      <c r="A301" s="41" t="s">
        <v>27</v>
      </c>
      <c r="B301" s="157" t="s">
        <v>117</v>
      </c>
      <c r="C301" s="6">
        <v>0</v>
      </c>
      <c r="D301" s="6">
        <v>0</v>
      </c>
      <c r="E301" s="88">
        <f t="shared" si="7"/>
        <v>5000</v>
      </c>
      <c r="F301" s="6">
        <v>5000</v>
      </c>
      <c r="G301" s="6">
        <v>5000</v>
      </c>
    </row>
    <row r="302" spans="1:7" ht="12.75">
      <c r="A302" s="41" t="s">
        <v>96</v>
      </c>
      <c r="B302" s="157" t="s">
        <v>118</v>
      </c>
      <c r="C302" s="6">
        <v>0</v>
      </c>
      <c r="D302" s="6">
        <v>0</v>
      </c>
      <c r="E302" s="88">
        <f t="shared" si="7"/>
        <v>38423</v>
      </c>
      <c r="F302" s="6">
        <f>(F295+F296)/12</f>
        <v>38423</v>
      </c>
      <c r="G302" s="6">
        <f>(G295+G296)/12</f>
        <v>39716</v>
      </c>
    </row>
    <row r="303" spans="1:7" ht="12.75">
      <c r="A303" s="41" t="s">
        <v>173</v>
      </c>
      <c r="B303" s="157" t="s">
        <v>174</v>
      </c>
      <c r="C303" s="6">
        <v>0</v>
      </c>
      <c r="D303" s="6">
        <v>0</v>
      </c>
      <c r="E303" s="88">
        <f t="shared" si="7"/>
        <v>38423</v>
      </c>
      <c r="F303" s="6">
        <f>F302</f>
        <v>38423</v>
      </c>
      <c r="G303" s="6">
        <f>G302</f>
        <v>39716</v>
      </c>
    </row>
    <row r="304" spans="1:7" ht="12.75">
      <c r="A304" s="41" t="s">
        <v>232</v>
      </c>
      <c r="B304" s="157" t="s">
        <v>119</v>
      </c>
      <c r="C304" s="6">
        <v>0</v>
      </c>
      <c r="D304" s="6">
        <v>0</v>
      </c>
      <c r="E304" s="88">
        <f t="shared" si="7"/>
        <v>55329.119999999995</v>
      </c>
      <c r="F304" s="6">
        <f>(F296+F295)*12%</f>
        <v>55329.119999999995</v>
      </c>
      <c r="G304" s="6">
        <v>57191.04</v>
      </c>
    </row>
    <row r="305" spans="1:7" ht="12.75">
      <c r="A305" s="41" t="s">
        <v>28</v>
      </c>
      <c r="B305" s="157" t="s">
        <v>120</v>
      </c>
      <c r="C305" s="6">
        <v>0</v>
      </c>
      <c r="D305" s="6">
        <v>0</v>
      </c>
      <c r="E305" s="88">
        <f t="shared" si="7"/>
        <v>1200</v>
      </c>
      <c r="F305" s="6">
        <v>1200</v>
      </c>
      <c r="G305" s="6">
        <v>1200</v>
      </c>
    </row>
    <row r="306" spans="1:7" ht="12.75">
      <c r="A306" s="41" t="s">
        <v>69</v>
      </c>
      <c r="B306" s="157" t="s">
        <v>121</v>
      </c>
      <c r="C306" s="6">
        <v>0</v>
      </c>
      <c r="D306" s="6">
        <v>0</v>
      </c>
      <c r="E306" s="88">
        <f t="shared" si="7"/>
        <v>9221.52</v>
      </c>
      <c r="F306" s="6">
        <v>9221.52</v>
      </c>
      <c r="G306" s="6">
        <v>10723.32</v>
      </c>
    </row>
    <row r="307" spans="1:7" ht="12.75">
      <c r="A307" s="29" t="s">
        <v>122</v>
      </c>
      <c r="B307" s="157" t="s">
        <v>123</v>
      </c>
      <c r="C307" s="6">
        <v>0</v>
      </c>
      <c r="D307" s="6">
        <v>0</v>
      </c>
      <c r="E307" s="88">
        <f t="shared" si="7"/>
        <v>1200</v>
      </c>
      <c r="F307" s="6">
        <v>1200</v>
      </c>
      <c r="G307" s="6">
        <v>1200</v>
      </c>
    </row>
    <row r="308" spans="1:7" ht="12.75">
      <c r="A308" s="41" t="s">
        <v>68</v>
      </c>
      <c r="B308" s="157" t="s">
        <v>124</v>
      </c>
      <c r="C308" s="6">
        <v>0</v>
      </c>
      <c r="D308" s="6">
        <v>0</v>
      </c>
      <c r="E308" s="88">
        <f t="shared" si="7"/>
        <v>0</v>
      </c>
      <c r="F308" s="6">
        <v>0</v>
      </c>
      <c r="G308" s="6">
        <v>0</v>
      </c>
    </row>
    <row r="309" spans="1:7" ht="12.75">
      <c r="A309" s="41" t="s">
        <v>99</v>
      </c>
      <c r="B309" s="157" t="s">
        <v>125</v>
      </c>
      <c r="C309" s="6">
        <v>0</v>
      </c>
      <c r="D309" s="6">
        <v>0</v>
      </c>
      <c r="E309" s="88">
        <f t="shared" si="7"/>
        <v>18517.08</v>
      </c>
      <c r="F309" s="60">
        <v>18517.08</v>
      </c>
      <c r="G309" s="60">
        <v>19140.21</v>
      </c>
    </row>
    <row r="310" spans="1:9" ht="12.75">
      <c r="A310" s="18" t="s">
        <v>193</v>
      </c>
      <c r="B310" s="33"/>
      <c r="C310" s="8">
        <f>SUM(C295:C309)</f>
        <v>0</v>
      </c>
      <c r="D310" s="8">
        <f>SUM(D295:D309)</f>
        <v>0</v>
      </c>
      <c r="E310" s="8">
        <f>SUM(E295:E309)</f>
        <v>663389.72</v>
      </c>
      <c r="F310" s="8">
        <f>SUM(F295:F309)</f>
        <v>663389.72</v>
      </c>
      <c r="G310" s="140">
        <f>SUM(G295:G309)</f>
        <v>685478.57</v>
      </c>
      <c r="I310" s="14"/>
    </row>
    <row r="311" spans="1:7" ht="12.75">
      <c r="A311" s="5"/>
      <c r="B311" s="33"/>
      <c r="C311" s="6"/>
      <c r="D311" s="6"/>
      <c r="E311" s="6"/>
      <c r="F311" s="6"/>
      <c r="G311" s="6"/>
    </row>
    <row r="312" spans="1:7" ht="12.75">
      <c r="A312" s="5"/>
      <c r="B312" s="33"/>
      <c r="C312" s="6"/>
      <c r="D312" s="6"/>
      <c r="E312" s="6"/>
      <c r="F312" s="6"/>
      <c r="G312" s="6"/>
    </row>
    <row r="313" spans="1:7" ht="12.75">
      <c r="A313" s="179"/>
      <c r="B313" s="182"/>
      <c r="C313" s="183"/>
      <c r="D313" s="183"/>
      <c r="E313" s="183"/>
      <c r="F313" s="183"/>
      <c r="G313" s="183"/>
    </row>
    <row r="314" spans="1:7" ht="12.75">
      <c r="A314" s="2"/>
      <c r="B314" s="36"/>
      <c r="C314" s="59"/>
      <c r="D314" s="59"/>
      <c r="E314" s="59"/>
      <c r="F314" s="59"/>
      <c r="G314" s="59"/>
    </row>
    <row r="315" spans="1:7" ht="12.75">
      <c r="A315" s="2"/>
      <c r="B315" s="36"/>
      <c r="C315" s="59"/>
      <c r="D315" s="59"/>
      <c r="E315" s="59"/>
      <c r="F315" s="59"/>
      <c r="G315" s="59"/>
    </row>
    <row r="316" spans="1:7" ht="12.75">
      <c r="A316" s="2"/>
      <c r="B316" s="36"/>
      <c r="C316" s="59"/>
      <c r="D316" s="59"/>
      <c r="E316" s="59"/>
      <c r="F316" s="59"/>
      <c r="G316" s="59"/>
    </row>
    <row r="317" spans="1:7" ht="12.75">
      <c r="A317" s="2"/>
      <c r="B317" s="36"/>
      <c r="C317" s="59"/>
      <c r="D317" s="59"/>
      <c r="E317" s="59"/>
      <c r="F317" s="59"/>
      <c r="G317" s="59"/>
    </row>
    <row r="318" spans="1:7" ht="18.75" customHeight="1">
      <c r="A318" s="68"/>
      <c r="B318" s="184"/>
      <c r="C318" s="185"/>
      <c r="D318" s="185"/>
      <c r="E318" s="185"/>
      <c r="F318" s="185"/>
      <c r="G318" s="185"/>
    </row>
    <row r="319" spans="1:7" ht="12.75">
      <c r="A319" s="23"/>
      <c r="B319" s="23"/>
      <c r="C319" s="475" t="s">
        <v>79</v>
      </c>
      <c r="D319" s="479" t="s">
        <v>166</v>
      </c>
      <c r="E319" s="480"/>
      <c r="F319" s="481"/>
      <c r="G319" s="482" t="s">
        <v>73</v>
      </c>
    </row>
    <row r="320" spans="1:7" ht="12.75">
      <c r="A320" s="24" t="s">
        <v>167</v>
      </c>
      <c r="B320" s="304" t="s">
        <v>241</v>
      </c>
      <c r="C320" s="476"/>
      <c r="D320" s="24" t="s">
        <v>168</v>
      </c>
      <c r="E320" s="24" t="s">
        <v>169</v>
      </c>
      <c r="F320" s="477" t="s">
        <v>23</v>
      </c>
      <c r="G320" s="483"/>
    </row>
    <row r="321" spans="1:7" ht="12.75">
      <c r="A321" s="24"/>
      <c r="B321" s="24"/>
      <c r="C321" s="24" t="s">
        <v>53</v>
      </c>
      <c r="D321" s="24" t="s">
        <v>53</v>
      </c>
      <c r="E321" s="156" t="s">
        <v>86</v>
      </c>
      <c r="F321" s="478"/>
      <c r="G321" s="3" t="s">
        <v>54</v>
      </c>
    </row>
    <row r="322" spans="1:7" ht="12.75">
      <c r="A322" s="46">
        <v>1</v>
      </c>
      <c r="B322" s="46">
        <v>2</v>
      </c>
      <c r="C322" s="46">
        <v>3</v>
      </c>
      <c r="D322" s="90">
        <v>4</v>
      </c>
      <c r="E322" s="90">
        <v>5</v>
      </c>
      <c r="F322" s="90">
        <v>6</v>
      </c>
      <c r="G322" s="91">
        <v>7</v>
      </c>
    </row>
    <row r="323" spans="1:7" ht="12.75">
      <c r="A323" s="32" t="s">
        <v>189</v>
      </c>
      <c r="B323" s="72"/>
      <c r="C323" s="139"/>
      <c r="D323" s="6"/>
      <c r="E323" s="6"/>
      <c r="F323" s="6"/>
      <c r="G323" s="6"/>
    </row>
    <row r="324" spans="1:7" ht="12.75">
      <c r="A324" s="29" t="s">
        <v>191</v>
      </c>
      <c r="B324" s="62" t="s">
        <v>126</v>
      </c>
      <c r="C324" s="6">
        <v>0</v>
      </c>
      <c r="D324" s="6">
        <v>0</v>
      </c>
      <c r="E324" s="88">
        <f aca="true" t="shared" si="8" ref="E324:E340">F324-D324</f>
        <v>30000</v>
      </c>
      <c r="F324" s="6">
        <v>30000</v>
      </c>
      <c r="G324" s="6">
        <v>30000</v>
      </c>
    </row>
    <row r="325" spans="1:7" ht="12.75">
      <c r="A325" s="41" t="s">
        <v>19</v>
      </c>
      <c r="B325" s="62" t="s">
        <v>127</v>
      </c>
      <c r="C325" s="6">
        <v>0</v>
      </c>
      <c r="D325" s="6">
        <v>0</v>
      </c>
      <c r="E325" s="88">
        <f t="shared" si="8"/>
        <v>20000</v>
      </c>
      <c r="F325" s="6">
        <v>20000</v>
      </c>
      <c r="G325" s="6">
        <v>20000</v>
      </c>
    </row>
    <row r="326" spans="1:7" ht="12.75">
      <c r="A326" s="41" t="s">
        <v>2</v>
      </c>
      <c r="B326" s="62" t="s">
        <v>128</v>
      </c>
      <c r="C326" s="6">
        <v>0</v>
      </c>
      <c r="D326" s="6">
        <v>0</v>
      </c>
      <c r="E326" s="88">
        <f t="shared" si="8"/>
        <v>16000</v>
      </c>
      <c r="F326" s="6">
        <v>16000</v>
      </c>
      <c r="G326" s="6">
        <v>16000</v>
      </c>
    </row>
    <row r="327" spans="1:7" ht="12.75">
      <c r="A327" s="41" t="s">
        <v>353</v>
      </c>
      <c r="B327" s="62" t="s">
        <v>219</v>
      </c>
      <c r="C327" s="6">
        <v>0</v>
      </c>
      <c r="D327" s="6">
        <v>0</v>
      </c>
      <c r="E327" s="88">
        <f t="shared" si="8"/>
        <v>0</v>
      </c>
      <c r="F327" s="6">
        <v>0</v>
      </c>
      <c r="G327" s="6">
        <v>0</v>
      </c>
    </row>
    <row r="328" spans="1:7" ht="12.75">
      <c r="A328" s="105" t="s">
        <v>201</v>
      </c>
      <c r="B328" s="62" t="s">
        <v>130</v>
      </c>
      <c r="C328" s="6">
        <v>0</v>
      </c>
      <c r="D328" s="6">
        <v>0</v>
      </c>
      <c r="E328" s="88">
        <f t="shared" si="8"/>
        <v>0</v>
      </c>
      <c r="F328" s="6">
        <v>0</v>
      </c>
      <c r="G328" s="6">
        <v>0</v>
      </c>
    </row>
    <row r="329" spans="1:7" ht="12.75">
      <c r="A329" s="29" t="s">
        <v>63</v>
      </c>
      <c r="B329" s="62" t="s">
        <v>131</v>
      </c>
      <c r="C329" s="6">
        <v>0</v>
      </c>
      <c r="D329" s="6">
        <v>0</v>
      </c>
      <c r="E329" s="88">
        <f t="shared" si="8"/>
        <v>0</v>
      </c>
      <c r="F329" s="6">
        <v>0</v>
      </c>
      <c r="G329" s="6">
        <v>0</v>
      </c>
    </row>
    <row r="330" spans="1:7" ht="12.75">
      <c r="A330" s="29" t="s">
        <v>133</v>
      </c>
      <c r="B330" s="62" t="s">
        <v>134</v>
      </c>
      <c r="C330" s="6">
        <v>0</v>
      </c>
      <c r="D330" s="6">
        <v>0</v>
      </c>
      <c r="E330" s="88">
        <f t="shared" si="8"/>
        <v>0</v>
      </c>
      <c r="F330" s="6">
        <v>0</v>
      </c>
      <c r="G330" s="6">
        <v>0</v>
      </c>
    </row>
    <row r="331" spans="1:7" ht="12.75">
      <c r="A331" s="29" t="s">
        <v>227</v>
      </c>
      <c r="B331" s="62" t="s">
        <v>135</v>
      </c>
      <c r="C331" s="6">
        <v>0</v>
      </c>
      <c r="D331" s="6">
        <v>0</v>
      </c>
      <c r="E331" s="88">
        <f t="shared" si="8"/>
        <v>84000</v>
      </c>
      <c r="F331" s="6">
        <v>84000</v>
      </c>
      <c r="G331" s="6">
        <v>60000</v>
      </c>
    </row>
    <row r="332" spans="1:7" ht="12.75">
      <c r="A332" s="41" t="s">
        <v>45</v>
      </c>
      <c r="B332" s="63" t="s">
        <v>136</v>
      </c>
      <c r="C332" s="6">
        <v>0</v>
      </c>
      <c r="D332" s="6">
        <v>0</v>
      </c>
      <c r="E332" s="88">
        <f t="shared" si="8"/>
        <v>0</v>
      </c>
      <c r="F332" s="6">
        <v>0</v>
      </c>
      <c r="G332" s="6">
        <v>0</v>
      </c>
    </row>
    <row r="333" spans="1:7" ht="12.75">
      <c r="A333" s="29" t="s">
        <v>251</v>
      </c>
      <c r="B333" s="62" t="s">
        <v>252</v>
      </c>
      <c r="C333" s="6">
        <v>0</v>
      </c>
      <c r="D333" s="6">
        <v>0</v>
      </c>
      <c r="E333" s="88">
        <f t="shared" si="8"/>
        <v>0</v>
      </c>
      <c r="F333" s="283">
        <v>0</v>
      </c>
      <c r="G333" s="283">
        <v>0</v>
      </c>
    </row>
    <row r="334" spans="1:7" ht="12.75">
      <c r="A334" s="29" t="s">
        <v>253</v>
      </c>
      <c r="B334" s="62" t="s">
        <v>254</v>
      </c>
      <c r="C334" s="6">
        <v>0</v>
      </c>
      <c r="D334" s="6">
        <v>0</v>
      </c>
      <c r="E334" s="88">
        <f t="shared" si="8"/>
        <v>0</v>
      </c>
      <c r="F334" s="283">
        <v>0</v>
      </c>
      <c r="G334" s="283">
        <v>0</v>
      </c>
    </row>
    <row r="335" spans="1:7" ht="12.75">
      <c r="A335" s="29" t="s">
        <v>146</v>
      </c>
      <c r="B335" s="62" t="s">
        <v>147</v>
      </c>
      <c r="C335" s="6">
        <v>0</v>
      </c>
      <c r="D335" s="6">
        <v>0</v>
      </c>
      <c r="E335" s="88">
        <f t="shared" si="8"/>
        <v>0</v>
      </c>
      <c r="F335" s="6">
        <v>0</v>
      </c>
      <c r="G335" s="6">
        <v>0</v>
      </c>
    </row>
    <row r="336" spans="1:7" ht="12.75">
      <c r="A336" s="131" t="s">
        <v>148</v>
      </c>
      <c r="B336" s="190" t="s">
        <v>149</v>
      </c>
      <c r="C336" s="6">
        <v>0</v>
      </c>
      <c r="D336" s="6">
        <v>0</v>
      </c>
      <c r="E336" s="88">
        <f t="shared" si="8"/>
        <v>0</v>
      </c>
      <c r="F336" s="6">
        <v>0</v>
      </c>
      <c r="G336" s="6">
        <v>0</v>
      </c>
    </row>
    <row r="337" spans="1:7" ht="12.75">
      <c r="A337" s="29" t="s">
        <v>5</v>
      </c>
      <c r="B337" s="62" t="s">
        <v>138</v>
      </c>
      <c r="C337" s="6">
        <v>0</v>
      </c>
      <c r="D337" s="6">
        <v>0</v>
      </c>
      <c r="E337" s="88">
        <f t="shared" si="8"/>
        <v>0</v>
      </c>
      <c r="F337" s="6">
        <v>0</v>
      </c>
      <c r="G337" s="6">
        <v>0</v>
      </c>
    </row>
    <row r="338" spans="1:7" ht="12.75">
      <c r="A338" s="29" t="s">
        <v>66</v>
      </c>
      <c r="B338" s="34" t="s">
        <v>139</v>
      </c>
      <c r="C338" s="6">
        <v>0</v>
      </c>
      <c r="D338" s="6">
        <v>0</v>
      </c>
      <c r="E338" s="88">
        <f t="shared" si="8"/>
        <v>0</v>
      </c>
      <c r="F338" s="6">
        <v>0</v>
      </c>
      <c r="G338" s="6">
        <v>0</v>
      </c>
    </row>
    <row r="339" spans="1:7" ht="12.75">
      <c r="A339" s="29" t="s">
        <v>270</v>
      </c>
      <c r="B339" s="62" t="s">
        <v>271</v>
      </c>
      <c r="C339" s="6">
        <v>0</v>
      </c>
      <c r="D339" s="6">
        <v>0</v>
      </c>
      <c r="E339" s="88">
        <f t="shared" si="8"/>
        <v>50000</v>
      </c>
      <c r="F339" s="88">
        <v>50000</v>
      </c>
      <c r="G339" s="88">
        <f>50000+150000+100000</f>
        <v>300000</v>
      </c>
    </row>
    <row r="340" spans="1:7" ht="12.75">
      <c r="A340" s="41" t="s">
        <v>58</v>
      </c>
      <c r="B340" s="63" t="s">
        <v>153</v>
      </c>
      <c r="C340" s="6">
        <v>0</v>
      </c>
      <c r="D340" s="6">
        <v>0</v>
      </c>
      <c r="E340" s="88">
        <f t="shared" si="8"/>
        <v>0</v>
      </c>
      <c r="F340" s="6">
        <v>0</v>
      </c>
      <c r="G340" s="6">
        <v>0</v>
      </c>
    </row>
    <row r="341" spans="1:11" ht="12.75">
      <c r="A341" s="43" t="s">
        <v>192</v>
      </c>
      <c r="B341" s="5"/>
      <c r="C341" s="140">
        <f>SUM(C324:C340)</f>
        <v>0</v>
      </c>
      <c r="D341" s="8">
        <f>SUM(D324:D340)</f>
        <v>0</v>
      </c>
      <c r="E341" s="8">
        <f>SUM(E324:E340)</f>
        <v>200000</v>
      </c>
      <c r="F341" s="8">
        <f>SUM(F324:F340)</f>
        <v>200000</v>
      </c>
      <c r="G341" s="8">
        <f>SUM(G324:G340)</f>
        <v>426000</v>
      </c>
      <c r="J341" s="14"/>
      <c r="K341" s="14"/>
    </row>
    <row r="342" spans="1:7" ht="12.75">
      <c r="A342" s="18"/>
      <c r="B342" s="5"/>
      <c r="C342" s="140"/>
      <c r="D342" s="8"/>
      <c r="E342" s="8"/>
      <c r="F342" s="8"/>
      <c r="G342" s="8"/>
    </row>
    <row r="343" spans="1:7" ht="12.75">
      <c r="A343" s="43" t="s">
        <v>44</v>
      </c>
      <c r="B343" s="5"/>
      <c r="C343" s="77"/>
      <c r="D343" s="64"/>
      <c r="E343" s="64"/>
      <c r="F343" s="64"/>
      <c r="G343" s="64"/>
    </row>
    <row r="344" spans="1:7" ht="12.75">
      <c r="A344" s="29" t="s">
        <v>26</v>
      </c>
      <c r="B344" s="39" t="s">
        <v>155</v>
      </c>
      <c r="C344" s="6">
        <v>0</v>
      </c>
      <c r="D344" s="6">
        <v>0</v>
      </c>
      <c r="E344" s="88">
        <f>F344-D344</f>
        <v>0</v>
      </c>
      <c r="F344" s="6">
        <v>0</v>
      </c>
      <c r="G344" s="6">
        <v>0</v>
      </c>
    </row>
    <row r="345" spans="1:7" ht="12.75">
      <c r="A345" s="29" t="s">
        <v>211</v>
      </c>
      <c r="B345" s="39" t="s">
        <v>156</v>
      </c>
      <c r="C345" s="6">
        <v>0</v>
      </c>
      <c r="D345" s="6">
        <v>0</v>
      </c>
      <c r="E345" s="88">
        <f>F345-D345</f>
        <v>0</v>
      </c>
      <c r="F345" s="6">
        <v>0</v>
      </c>
      <c r="G345" s="6">
        <v>0</v>
      </c>
    </row>
    <row r="346" spans="1:7" ht="12.75">
      <c r="A346" s="29" t="s">
        <v>92</v>
      </c>
      <c r="B346" s="39" t="s">
        <v>157</v>
      </c>
      <c r="C346" s="6">
        <v>0</v>
      </c>
      <c r="D346" s="6">
        <v>0</v>
      </c>
      <c r="E346" s="88">
        <f>F346-D346</f>
        <v>50000</v>
      </c>
      <c r="F346" s="6">
        <v>50000</v>
      </c>
      <c r="G346" s="6">
        <v>0</v>
      </c>
    </row>
    <row r="347" spans="1:12" ht="12.75">
      <c r="A347" s="43" t="s">
        <v>77</v>
      </c>
      <c r="B347" s="5"/>
      <c r="C347" s="140">
        <f>SUM(C344:C346)</f>
        <v>0</v>
      </c>
      <c r="D347" s="8">
        <f>SUM(D344:D346)</f>
        <v>0</v>
      </c>
      <c r="E347" s="8">
        <f>SUM(E344:E346)</f>
        <v>50000</v>
      </c>
      <c r="F347" s="8">
        <f>SUM(F344:F346)</f>
        <v>50000</v>
      </c>
      <c r="G347" s="8">
        <f>SUM(G344:G346)</f>
        <v>0</v>
      </c>
      <c r="L347" s="14"/>
    </row>
    <row r="348" spans="1:7" ht="3" customHeight="1">
      <c r="A348" s="5"/>
      <c r="B348" s="5"/>
      <c r="C348" s="6"/>
      <c r="D348" s="6"/>
      <c r="E348" s="6"/>
      <c r="F348" s="6"/>
      <c r="G348" s="6"/>
    </row>
    <row r="349" spans="1:8" ht="12.75">
      <c r="A349" s="7" t="s">
        <v>34</v>
      </c>
      <c r="B349" s="7"/>
      <c r="C349" s="8">
        <f>C310+C341+C347</f>
        <v>0</v>
      </c>
      <c r="D349" s="8">
        <f>D310+D341+D347</f>
        <v>0</v>
      </c>
      <c r="E349" s="8">
        <f>E310+E341+E347</f>
        <v>913389.72</v>
      </c>
      <c r="F349" s="8">
        <f>F310+F341+F347</f>
        <v>913389.72</v>
      </c>
      <c r="G349" s="8">
        <f>G310+G341+G347</f>
        <v>1111478.5699999998</v>
      </c>
      <c r="H349" s="14"/>
    </row>
    <row r="350" spans="1:7" ht="12.75">
      <c r="A350" s="4"/>
      <c r="B350" s="4"/>
      <c r="C350" s="10"/>
      <c r="D350" s="155"/>
      <c r="E350" s="155"/>
      <c r="F350" s="117"/>
      <c r="G350" s="4"/>
    </row>
    <row r="351" spans="1:7" ht="12.75">
      <c r="A351" s="2"/>
      <c r="B351" s="2"/>
      <c r="C351" s="2"/>
      <c r="D351" s="2"/>
      <c r="E351" s="2"/>
      <c r="F351" s="2"/>
      <c r="G351" s="59"/>
    </row>
    <row r="352" spans="1:7" ht="12.75">
      <c r="A352" s="2" t="s">
        <v>185</v>
      </c>
      <c r="B352" s="2" t="s">
        <v>186</v>
      </c>
      <c r="C352" s="2"/>
      <c r="D352" s="2"/>
      <c r="E352" s="161" t="s">
        <v>170</v>
      </c>
      <c r="F352" s="2"/>
      <c r="G352" s="59"/>
    </row>
    <row r="353" spans="1:7" ht="12.75">
      <c r="A353" s="2"/>
      <c r="B353" s="2"/>
      <c r="C353" s="2"/>
      <c r="D353" s="2"/>
      <c r="E353" s="161"/>
      <c r="F353" s="2"/>
      <c r="G353" s="2"/>
    </row>
    <row r="354" spans="1:7" ht="12.75">
      <c r="A354" s="2"/>
      <c r="B354" s="2"/>
      <c r="C354" s="2"/>
      <c r="D354" s="2"/>
      <c r="E354" s="161"/>
      <c r="F354" s="2"/>
      <c r="G354" s="2"/>
    </row>
    <row r="355" spans="1:7" ht="12.75">
      <c r="A355" s="2"/>
      <c r="B355" s="22"/>
      <c r="C355" s="22"/>
      <c r="D355" s="22"/>
      <c r="E355" s="162"/>
      <c r="F355" s="22"/>
      <c r="G355" s="2"/>
    </row>
    <row r="356" spans="1:7" ht="12.75">
      <c r="A356" s="98" t="s">
        <v>161</v>
      </c>
      <c r="B356" s="22" t="s">
        <v>277</v>
      </c>
      <c r="C356" s="22"/>
      <c r="D356" s="22"/>
      <c r="E356" s="162" t="s">
        <v>161</v>
      </c>
      <c r="F356" s="22"/>
      <c r="G356" s="2"/>
    </row>
    <row r="357" spans="1:7" ht="12.75">
      <c r="A357" s="74" t="s">
        <v>25</v>
      </c>
      <c r="B357" s="2" t="s">
        <v>373</v>
      </c>
      <c r="C357" s="2"/>
      <c r="D357" s="2"/>
      <c r="E357" s="161" t="s">
        <v>25</v>
      </c>
      <c r="F357" s="2"/>
      <c r="G357" s="2"/>
    </row>
    <row r="358" spans="1:7" ht="12.75">
      <c r="A358" s="74"/>
      <c r="B358" s="2"/>
      <c r="C358" s="2"/>
      <c r="D358" s="2"/>
      <c r="E358" s="161"/>
      <c r="F358" s="2"/>
      <c r="G358" s="2"/>
    </row>
    <row r="359" spans="1:7" ht="12.75">
      <c r="A359" s="19" t="s">
        <v>208</v>
      </c>
      <c r="B359" s="2"/>
      <c r="C359" s="2"/>
      <c r="D359" s="2"/>
      <c r="E359" s="2"/>
      <c r="F359" s="2"/>
      <c r="G359" s="2"/>
    </row>
    <row r="360" spans="1:7" ht="12.75">
      <c r="A360" s="19"/>
      <c r="B360" s="2"/>
      <c r="C360" s="2"/>
      <c r="D360" s="2"/>
      <c r="E360" s="2"/>
      <c r="F360" s="2"/>
      <c r="G360" s="2"/>
    </row>
    <row r="361" spans="1:7" ht="12.75">
      <c r="A361" s="2"/>
      <c r="B361" s="2"/>
      <c r="C361" s="2"/>
      <c r="D361" s="2"/>
      <c r="E361" s="2"/>
      <c r="F361" s="2"/>
      <c r="G361" s="2"/>
    </row>
    <row r="362" spans="1:7" ht="15">
      <c r="A362" s="474" t="s">
        <v>165</v>
      </c>
      <c r="B362" s="474"/>
      <c r="C362" s="474"/>
      <c r="D362" s="474"/>
      <c r="E362" s="474"/>
      <c r="F362" s="474"/>
      <c r="G362" s="474"/>
    </row>
    <row r="363" spans="1:7" ht="15">
      <c r="A363" s="474" t="s">
        <v>172</v>
      </c>
      <c r="B363" s="474"/>
      <c r="C363" s="474"/>
      <c r="D363" s="474"/>
      <c r="E363" s="474"/>
      <c r="F363" s="474"/>
      <c r="G363" s="474"/>
    </row>
    <row r="364" spans="1:7" ht="12.75">
      <c r="A364" s="54"/>
      <c r="B364" s="54"/>
      <c r="C364" s="54"/>
      <c r="D364" s="54"/>
      <c r="E364" s="54"/>
      <c r="F364" s="54"/>
      <c r="G364" s="54"/>
    </row>
    <row r="365" spans="1:7" ht="12.75">
      <c r="A365" s="54"/>
      <c r="B365" s="54"/>
      <c r="C365" s="54"/>
      <c r="D365" s="54"/>
      <c r="E365" s="54"/>
      <c r="F365" s="54"/>
      <c r="G365" s="54"/>
    </row>
    <row r="366" spans="1:7" ht="12.75">
      <c r="A366" s="21" t="s">
        <v>52</v>
      </c>
      <c r="B366" s="21" t="s">
        <v>367</v>
      </c>
      <c r="C366" s="21"/>
      <c r="D366" s="21"/>
      <c r="E366" s="21"/>
      <c r="F366" s="2"/>
      <c r="G366" s="2"/>
    </row>
    <row r="367" spans="1:7" ht="12.75">
      <c r="A367" s="2"/>
      <c r="B367" s="2"/>
      <c r="C367" s="2"/>
      <c r="D367" s="2"/>
      <c r="E367" s="2"/>
      <c r="F367" s="2"/>
      <c r="G367" s="2"/>
    </row>
    <row r="368" spans="1:7" ht="12.75">
      <c r="A368" s="23"/>
      <c r="B368" s="23"/>
      <c r="C368" s="475" t="s">
        <v>79</v>
      </c>
      <c r="D368" s="479" t="s">
        <v>166</v>
      </c>
      <c r="E368" s="480"/>
      <c r="F368" s="481"/>
      <c r="G368" s="482" t="s">
        <v>73</v>
      </c>
    </row>
    <row r="369" spans="1:7" ht="12.75">
      <c r="A369" s="24" t="s">
        <v>167</v>
      </c>
      <c r="B369" s="304" t="s">
        <v>241</v>
      </c>
      <c r="C369" s="476"/>
      <c r="D369" s="24" t="s">
        <v>168</v>
      </c>
      <c r="E369" s="24" t="s">
        <v>169</v>
      </c>
      <c r="F369" s="477" t="s">
        <v>23</v>
      </c>
      <c r="G369" s="483"/>
    </row>
    <row r="370" spans="1:7" ht="12.75">
      <c r="A370" s="24"/>
      <c r="B370" s="24"/>
      <c r="C370" s="24" t="s">
        <v>53</v>
      </c>
      <c r="D370" s="24" t="s">
        <v>53</v>
      </c>
      <c r="E370" s="156" t="s">
        <v>86</v>
      </c>
      <c r="F370" s="478"/>
      <c r="G370" s="3" t="s">
        <v>54</v>
      </c>
    </row>
    <row r="371" spans="1:7" ht="12.75">
      <c r="A371" s="46">
        <v>1</v>
      </c>
      <c r="B371" s="46">
        <v>2</v>
      </c>
      <c r="C371" s="46">
        <v>3</v>
      </c>
      <c r="D371" s="90">
        <v>4</v>
      </c>
      <c r="E371" s="90">
        <v>5</v>
      </c>
      <c r="F371" s="90">
        <v>6</v>
      </c>
      <c r="G371" s="91">
        <v>7</v>
      </c>
    </row>
    <row r="372" spans="1:7" ht="12.75">
      <c r="A372" s="5"/>
      <c r="B372" s="5"/>
      <c r="C372" s="5"/>
      <c r="D372" s="116"/>
      <c r="E372" s="116"/>
      <c r="F372" s="116"/>
      <c r="G372" s="5"/>
    </row>
    <row r="373" spans="1:7" ht="15">
      <c r="A373" s="42" t="s">
        <v>43</v>
      </c>
      <c r="B373" s="72"/>
      <c r="C373" s="5"/>
      <c r="D373" s="116"/>
      <c r="E373" s="116"/>
      <c r="F373" s="116"/>
      <c r="G373" s="92"/>
    </row>
    <row r="374" spans="1:7" ht="12.75">
      <c r="A374" s="41" t="s">
        <v>222</v>
      </c>
      <c r="B374" s="157" t="s">
        <v>113</v>
      </c>
      <c r="C374" s="6">
        <v>0</v>
      </c>
      <c r="D374" s="6">
        <v>0</v>
      </c>
      <c r="E374" s="88">
        <f>F374-D374</f>
        <v>461076</v>
      </c>
      <c r="F374" s="6">
        <v>461076</v>
      </c>
      <c r="G374" s="6">
        <v>476592</v>
      </c>
    </row>
    <row r="375" spans="1:7" ht="12.75">
      <c r="A375" s="41" t="s">
        <v>204</v>
      </c>
      <c r="B375" s="157" t="s">
        <v>114</v>
      </c>
      <c r="C375" s="6">
        <v>0</v>
      </c>
      <c r="D375" s="6">
        <v>0</v>
      </c>
      <c r="E375" s="88">
        <f aca="true" t="shared" si="9" ref="E375:E388">F375-D375</f>
        <v>0</v>
      </c>
      <c r="F375" s="6">
        <v>0</v>
      </c>
      <c r="G375" s="6">
        <v>0</v>
      </c>
    </row>
    <row r="376" spans="1:7" ht="12.75">
      <c r="A376" s="29" t="s">
        <v>100</v>
      </c>
      <c r="B376" s="157" t="s">
        <v>114</v>
      </c>
      <c r="C376" s="6">
        <v>0</v>
      </c>
      <c r="D376" s="6">
        <v>0</v>
      </c>
      <c r="E376" s="88">
        <f t="shared" si="9"/>
        <v>24000</v>
      </c>
      <c r="F376" s="6">
        <v>24000</v>
      </c>
      <c r="G376" s="6">
        <v>24000</v>
      </c>
    </row>
    <row r="377" spans="1:7" ht="12.75">
      <c r="A377" s="41" t="s">
        <v>42</v>
      </c>
      <c r="B377" s="157" t="s">
        <v>115</v>
      </c>
      <c r="C377" s="6">
        <v>0</v>
      </c>
      <c r="D377" s="6">
        <v>0</v>
      </c>
      <c r="E377" s="88">
        <f t="shared" si="9"/>
        <v>0</v>
      </c>
      <c r="F377" s="6">
        <v>0</v>
      </c>
      <c r="G377" s="6">
        <v>0</v>
      </c>
    </row>
    <row r="378" spans="1:7" ht="12.75">
      <c r="A378" s="41" t="s">
        <v>18</v>
      </c>
      <c r="B378" s="157" t="s">
        <v>116</v>
      </c>
      <c r="C378" s="6">
        <v>0</v>
      </c>
      <c r="D378" s="6">
        <v>0</v>
      </c>
      <c r="E378" s="88">
        <f t="shared" si="9"/>
        <v>6000</v>
      </c>
      <c r="F378" s="6">
        <v>6000</v>
      </c>
      <c r="G378" s="6">
        <v>6000</v>
      </c>
    </row>
    <row r="379" spans="1:7" ht="12.75">
      <c r="A379" s="41" t="s">
        <v>175</v>
      </c>
      <c r="B379" s="157" t="s">
        <v>176</v>
      </c>
      <c r="C379" s="6">
        <v>0</v>
      </c>
      <c r="D379" s="6">
        <v>0</v>
      </c>
      <c r="E379" s="88">
        <f t="shared" si="9"/>
        <v>5000</v>
      </c>
      <c r="F379" s="64">
        <v>5000</v>
      </c>
      <c r="G379" s="64">
        <v>5000</v>
      </c>
    </row>
    <row r="380" spans="1:7" ht="12.75">
      <c r="A380" s="41" t="s">
        <v>27</v>
      </c>
      <c r="B380" s="157" t="s">
        <v>117</v>
      </c>
      <c r="C380" s="6">
        <v>0</v>
      </c>
      <c r="D380" s="6">
        <v>0</v>
      </c>
      <c r="E380" s="88">
        <f t="shared" si="9"/>
        <v>5000</v>
      </c>
      <c r="F380" s="6">
        <v>5000</v>
      </c>
      <c r="G380" s="6">
        <v>5000</v>
      </c>
    </row>
    <row r="381" spans="1:7" ht="12.75">
      <c r="A381" s="41" t="s">
        <v>96</v>
      </c>
      <c r="B381" s="157" t="s">
        <v>118</v>
      </c>
      <c r="C381" s="6">
        <v>0</v>
      </c>
      <c r="D381" s="6">
        <v>0</v>
      </c>
      <c r="E381" s="88">
        <f t="shared" si="9"/>
        <v>38423</v>
      </c>
      <c r="F381" s="6">
        <f>(F374+F375)/12</f>
        <v>38423</v>
      </c>
      <c r="G381" s="6">
        <f>(G374+G375)/12</f>
        <v>39716</v>
      </c>
    </row>
    <row r="382" spans="1:7" ht="12.75">
      <c r="A382" s="41" t="s">
        <v>173</v>
      </c>
      <c r="B382" s="157" t="s">
        <v>174</v>
      </c>
      <c r="C382" s="6">
        <v>0</v>
      </c>
      <c r="D382" s="6">
        <v>0</v>
      </c>
      <c r="E382" s="88">
        <f t="shared" si="9"/>
        <v>38423</v>
      </c>
      <c r="F382" s="6">
        <f>F381</f>
        <v>38423</v>
      </c>
      <c r="G382" s="6">
        <f>G381</f>
        <v>39716</v>
      </c>
    </row>
    <row r="383" spans="1:7" ht="12.75">
      <c r="A383" s="41" t="s">
        <v>232</v>
      </c>
      <c r="B383" s="157" t="s">
        <v>119</v>
      </c>
      <c r="C383" s="6">
        <v>0</v>
      </c>
      <c r="D383" s="6">
        <v>0</v>
      </c>
      <c r="E383" s="88">
        <f t="shared" si="9"/>
        <v>55329.119999999995</v>
      </c>
      <c r="F383" s="6">
        <f>(F375+F374)*12%</f>
        <v>55329.119999999995</v>
      </c>
      <c r="G383" s="6">
        <v>57191.04</v>
      </c>
    </row>
    <row r="384" spans="1:7" ht="12.75">
      <c r="A384" s="41" t="s">
        <v>28</v>
      </c>
      <c r="B384" s="157" t="s">
        <v>120</v>
      </c>
      <c r="C384" s="6">
        <v>0</v>
      </c>
      <c r="D384" s="6">
        <v>0</v>
      </c>
      <c r="E384" s="88">
        <f t="shared" si="9"/>
        <v>1200</v>
      </c>
      <c r="F384" s="6">
        <v>1200</v>
      </c>
      <c r="G384" s="6">
        <v>1200</v>
      </c>
    </row>
    <row r="385" spans="1:7" ht="12.75">
      <c r="A385" s="41" t="s">
        <v>69</v>
      </c>
      <c r="B385" s="157" t="s">
        <v>121</v>
      </c>
      <c r="C385" s="6">
        <v>0</v>
      </c>
      <c r="D385" s="6">
        <v>0</v>
      </c>
      <c r="E385" s="88">
        <f t="shared" si="9"/>
        <v>9221.52</v>
      </c>
      <c r="F385" s="6">
        <v>9221.52</v>
      </c>
      <c r="G385" s="6">
        <v>10723.32</v>
      </c>
    </row>
    <row r="386" spans="1:7" ht="12.75">
      <c r="A386" s="29" t="s">
        <v>122</v>
      </c>
      <c r="B386" s="157" t="s">
        <v>123</v>
      </c>
      <c r="C386" s="6">
        <v>0</v>
      </c>
      <c r="D386" s="6">
        <v>0</v>
      </c>
      <c r="E386" s="88">
        <f t="shared" si="9"/>
        <v>1200</v>
      </c>
      <c r="F386" s="6">
        <v>1200</v>
      </c>
      <c r="G386" s="6">
        <v>1200</v>
      </c>
    </row>
    <row r="387" spans="1:7" ht="12.75">
      <c r="A387" s="41" t="s">
        <v>68</v>
      </c>
      <c r="B387" s="157" t="s">
        <v>124</v>
      </c>
      <c r="C387" s="6">
        <v>0</v>
      </c>
      <c r="D387" s="6">
        <v>0</v>
      </c>
      <c r="E387" s="88">
        <f t="shared" si="9"/>
        <v>0</v>
      </c>
      <c r="F387" s="6">
        <v>0</v>
      </c>
      <c r="G387" s="6">
        <v>0</v>
      </c>
    </row>
    <row r="388" spans="1:7" ht="12.75">
      <c r="A388" s="41" t="s">
        <v>99</v>
      </c>
      <c r="B388" s="157" t="s">
        <v>125</v>
      </c>
      <c r="C388" s="6">
        <v>0</v>
      </c>
      <c r="D388" s="6">
        <v>0</v>
      </c>
      <c r="E388" s="88">
        <f t="shared" si="9"/>
        <v>18517.08</v>
      </c>
      <c r="F388" s="60">
        <v>18517.08</v>
      </c>
      <c r="G388" s="60">
        <v>19140.21</v>
      </c>
    </row>
    <row r="389" spans="1:9" ht="12.75">
      <c r="A389" s="18" t="s">
        <v>340</v>
      </c>
      <c r="B389" s="33"/>
      <c r="C389" s="8">
        <f>SUM(C374:C388)</f>
        <v>0</v>
      </c>
      <c r="D389" s="8">
        <f>SUM(D374:D388)</f>
        <v>0</v>
      </c>
      <c r="E389" s="8">
        <f>SUM(E374:E388)</f>
        <v>663389.72</v>
      </c>
      <c r="F389" s="8">
        <f>SUM(F374:F388)</f>
        <v>663389.72</v>
      </c>
      <c r="G389" s="140">
        <f>SUM(G374:G388)</f>
        <v>685478.57</v>
      </c>
      <c r="I389" s="14"/>
    </row>
    <row r="390" spans="1:7" ht="12.75">
      <c r="A390" s="5"/>
      <c r="B390" s="33"/>
      <c r="C390" s="6"/>
      <c r="D390" s="6"/>
      <c r="E390" s="6"/>
      <c r="F390" s="6"/>
      <c r="G390" s="6"/>
    </row>
    <row r="391" spans="1:7" ht="12.75">
      <c r="A391" s="5"/>
      <c r="B391" s="33"/>
      <c r="C391" s="6"/>
      <c r="D391" s="6"/>
      <c r="E391" s="6"/>
      <c r="F391" s="6"/>
      <c r="G391" s="6"/>
    </row>
    <row r="392" spans="1:7" ht="12.75">
      <c r="A392" s="179"/>
      <c r="B392" s="182"/>
      <c r="C392" s="183"/>
      <c r="D392" s="183"/>
      <c r="E392" s="183"/>
      <c r="F392" s="183"/>
      <c r="G392" s="183"/>
    </row>
    <row r="393" spans="1:7" ht="12.75">
      <c r="A393" s="2"/>
      <c r="B393" s="36"/>
      <c r="C393" s="59"/>
      <c r="D393" s="59"/>
      <c r="E393" s="59"/>
      <c r="F393" s="59"/>
      <c r="G393" s="59"/>
    </row>
    <row r="394" spans="1:7" ht="12.75">
      <c r="A394" s="2"/>
      <c r="B394" s="36"/>
      <c r="C394" s="59"/>
      <c r="D394" s="59"/>
      <c r="E394" s="59"/>
      <c r="F394" s="59"/>
      <c r="G394" s="59"/>
    </row>
    <row r="395" spans="1:7" ht="12.75">
      <c r="A395" s="2"/>
      <c r="B395" s="36"/>
      <c r="C395" s="59"/>
      <c r="D395" s="59"/>
      <c r="E395" s="59"/>
      <c r="F395" s="59"/>
      <c r="G395" s="59"/>
    </row>
    <row r="396" spans="1:7" ht="12.75">
      <c r="A396" s="2"/>
      <c r="B396" s="36"/>
      <c r="C396" s="59"/>
      <c r="D396" s="59"/>
      <c r="E396" s="59"/>
      <c r="F396" s="59"/>
      <c r="G396" s="59"/>
    </row>
    <row r="397" spans="1:7" ht="12.75">
      <c r="A397" s="68"/>
      <c r="B397" s="184"/>
      <c r="C397" s="185"/>
      <c r="D397" s="185"/>
      <c r="E397" s="185"/>
      <c r="F397" s="185"/>
      <c r="G397" s="185"/>
    </row>
    <row r="398" spans="1:7" ht="12.75">
      <c r="A398" s="23"/>
      <c r="B398" s="23"/>
      <c r="C398" s="475" t="s">
        <v>79</v>
      </c>
      <c r="D398" s="479" t="s">
        <v>166</v>
      </c>
      <c r="E398" s="480"/>
      <c r="F398" s="481"/>
      <c r="G398" s="482" t="s">
        <v>73</v>
      </c>
    </row>
    <row r="399" spans="1:7" ht="12.75">
      <c r="A399" s="24" t="s">
        <v>167</v>
      </c>
      <c r="B399" s="304" t="s">
        <v>241</v>
      </c>
      <c r="C399" s="476"/>
      <c r="D399" s="24" t="s">
        <v>168</v>
      </c>
      <c r="E399" s="24" t="s">
        <v>169</v>
      </c>
      <c r="F399" s="477" t="s">
        <v>23</v>
      </c>
      <c r="G399" s="483"/>
    </row>
    <row r="400" spans="1:7" ht="12.75">
      <c r="A400" s="24"/>
      <c r="B400" s="24"/>
      <c r="C400" s="24" t="s">
        <v>53</v>
      </c>
      <c r="D400" s="24" t="s">
        <v>53</v>
      </c>
      <c r="E400" s="156" t="s">
        <v>86</v>
      </c>
      <c r="F400" s="478"/>
      <c r="G400" s="3" t="s">
        <v>54</v>
      </c>
    </row>
    <row r="401" spans="1:7" ht="12.75">
      <c r="A401" s="46">
        <v>1</v>
      </c>
      <c r="B401" s="46">
        <v>2</v>
      </c>
      <c r="C401" s="46">
        <v>3</v>
      </c>
      <c r="D401" s="90">
        <v>4</v>
      </c>
      <c r="E401" s="90">
        <v>5</v>
      </c>
      <c r="F401" s="90">
        <v>6</v>
      </c>
      <c r="G401" s="91">
        <v>7</v>
      </c>
    </row>
    <row r="402" spans="1:7" ht="12.75">
      <c r="A402" s="32" t="s">
        <v>189</v>
      </c>
      <c r="B402" s="72"/>
      <c r="C402" s="139"/>
      <c r="D402" s="6"/>
      <c r="E402" s="6"/>
      <c r="F402" s="6"/>
      <c r="G402" s="6"/>
    </row>
    <row r="403" spans="1:7" ht="12.75">
      <c r="A403" s="29" t="s">
        <v>191</v>
      </c>
      <c r="B403" s="62" t="s">
        <v>126</v>
      </c>
      <c r="C403" s="6">
        <v>0</v>
      </c>
      <c r="D403" s="6">
        <v>0</v>
      </c>
      <c r="E403" s="88">
        <f aca="true" t="shared" si="10" ref="E403:E419">F403-D403</f>
        <v>50000</v>
      </c>
      <c r="F403" s="6">
        <v>50000</v>
      </c>
      <c r="G403" s="6">
        <v>50000</v>
      </c>
    </row>
    <row r="404" spans="1:7" ht="12.75">
      <c r="A404" s="41" t="s">
        <v>19</v>
      </c>
      <c r="B404" s="62" t="s">
        <v>127</v>
      </c>
      <c r="C404" s="6">
        <v>0</v>
      </c>
      <c r="D404" s="6">
        <v>0</v>
      </c>
      <c r="E404" s="88">
        <f t="shared" si="10"/>
        <v>20000</v>
      </c>
      <c r="F404" s="6">
        <v>20000</v>
      </c>
      <c r="G404" s="6">
        <v>20000</v>
      </c>
    </row>
    <row r="405" spans="1:7" ht="12.75">
      <c r="A405" s="41" t="s">
        <v>2</v>
      </c>
      <c r="B405" s="62" t="s">
        <v>128</v>
      </c>
      <c r="C405" s="6">
        <v>0</v>
      </c>
      <c r="D405" s="6">
        <v>0</v>
      </c>
      <c r="E405" s="88">
        <f t="shared" si="10"/>
        <v>46000</v>
      </c>
      <c r="F405" s="6">
        <v>46000</v>
      </c>
      <c r="G405" s="6">
        <v>46000</v>
      </c>
    </row>
    <row r="406" spans="1:7" ht="12.75">
      <c r="A406" s="41" t="s">
        <v>353</v>
      </c>
      <c r="B406" s="62" t="s">
        <v>219</v>
      </c>
      <c r="C406" s="6">
        <v>0</v>
      </c>
      <c r="D406" s="6">
        <v>0</v>
      </c>
      <c r="E406" s="88">
        <f t="shared" si="10"/>
        <v>0</v>
      </c>
      <c r="F406" s="6">
        <v>0</v>
      </c>
      <c r="G406" s="6">
        <v>0</v>
      </c>
    </row>
    <row r="407" spans="1:7" ht="12.75">
      <c r="A407" s="105" t="s">
        <v>201</v>
      </c>
      <c r="B407" s="62" t="s">
        <v>130</v>
      </c>
      <c r="C407" s="6">
        <v>0</v>
      </c>
      <c r="D407" s="6">
        <v>0</v>
      </c>
      <c r="E407" s="88">
        <f t="shared" si="10"/>
        <v>0</v>
      </c>
      <c r="F407" s="6">
        <v>0</v>
      </c>
      <c r="G407" s="6">
        <v>0</v>
      </c>
    </row>
    <row r="408" spans="1:7" ht="12.75">
      <c r="A408" s="29" t="s">
        <v>63</v>
      </c>
      <c r="B408" s="62" t="s">
        <v>131</v>
      </c>
      <c r="C408" s="6">
        <v>0</v>
      </c>
      <c r="D408" s="6">
        <v>0</v>
      </c>
      <c r="E408" s="88">
        <f t="shared" si="10"/>
        <v>0</v>
      </c>
      <c r="F408" s="6">
        <v>0</v>
      </c>
      <c r="G408" s="6">
        <v>0</v>
      </c>
    </row>
    <row r="409" spans="1:7" ht="12.75">
      <c r="A409" s="29" t="s">
        <v>133</v>
      </c>
      <c r="B409" s="62" t="s">
        <v>134</v>
      </c>
      <c r="C409" s="6">
        <v>0</v>
      </c>
      <c r="D409" s="6">
        <v>0</v>
      </c>
      <c r="E409" s="88">
        <f t="shared" si="10"/>
        <v>0</v>
      </c>
      <c r="F409" s="6">
        <v>0</v>
      </c>
      <c r="G409" s="6">
        <v>0</v>
      </c>
    </row>
    <row r="410" spans="1:7" ht="12.75">
      <c r="A410" s="29" t="s">
        <v>227</v>
      </c>
      <c r="B410" s="62" t="s">
        <v>135</v>
      </c>
      <c r="C410" s="6">
        <v>0</v>
      </c>
      <c r="D410" s="6">
        <v>0</v>
      </c>
      <c r="E410" s="88">
        <f t="shared" si="10"/>
        <v>84000</v>
      </c>
      <c r="F410" s="6">
        <v>84000</v>
      </c>
      <c r="G410" s="6">
        <v>60000</v>
      </c>
    </row>
    <row r="411" spans="1:7" ht="12.75">
      <c r="A411" s="41" t="s">
        <v>45</v>
      </c>
      <c r="B411" s="63" t="s">
        <v>136</v>
      </c>
      <c r="C411" s="6">
        <v>0</v>
      </c>
      <c r="D411" s="6">
        <v>0</v>
      </c>
      <c r="E411" s="88">
        <f t="shared" si="10"/>
        <v>0</v>
      </c>
      <c r="F411" s="6">
        <v>0</v>
      </c>
      <c r="G411" s="6">
        <v>0</v>
      </c>
    </row>
    <row r="412" spans="1:7" ht="12.75">
      <c r="A412" s="29" t="s">
        <v>251</v>
      </c>
      <c r="B412" s="62" t="s">
        <v>252</v>
      </c>
      <c r="C412" s="6">
        <v>0</v>
      </c>
      <c r="D412" s="6">
        <v>0</v>
      </c>
      <c r="E412" s="88">
        <f t="shared" si="10"/>
        <v>0</v>
      </c>
      <c r="F412" s="283">
        <v>0</v>
      </c>
      <c r="G412" s="283">
        <v>0</v>
      </c>
    </row>
    <row r="413" spans="1:7" ht="12.75">
      <c r="A413" s="29" t="s">
        <v>253</v>
      </c>
      <c r="B413" s="62" t="s">
        <v>254</v>
      </c>
      <c r="C413" s="6">
        <v>0</v>
      </c>
      <c r="D413" s="6">
        <v>0</v>
      </c>
      <c r="E413" s="88">
        <f t="shared" si="10"/>
        <v>0</v>
      </c>
      <c r="F413" s="283">
        <v>0</v>
      </c>
      <c r="G413" s="283">
        <v>0</v>
      </c>
    </row>
    <row r="414" spans="1:7" ht="12.75">
      <c r="A414" s="29" t="s">
        <v>146</v>
      </c>
      <c r="B414" s="62" t="s">
        <v>147</v>
      </c>
      <c r="C414" s="6">
        <v>0</v>
      </c>
      <c r="D414" s="6">
        <v>0</v>
      </c>
      <c r="E414" s="88">
        <f t="shared" si="10"/>
        <v>0</v>
      </c>
      <c r="F414" s="6">
        <v>0</v>
      </c>
      <c r="G414" s="6">
        <v>0</v>
      </c>
    </row>
    <row r="415" spans="1:7" ht="12.75">
      <c r="A415" s="131" t="s">
        <v>148</v>
      </c>
      <c r="B415" s="190" t="s">
        <v>149</v>
      </c>
      <c r="C415" s="6">
        <v>0</v>
      </c>
      <c r="D415" s="6">
        <v>0</v>
      </c>
      <c r="E415" s="88">
        <f t="shared" si="10"/>
        <v>0</v>
      </c>
      <c r="F415" s="6">
        <v>0</v>
      </c>
      <c r="G415" s="6">
        <v>0</v>
      </c>
    </row>
    <row r="416" spans="1:7" ht="12.75">
      <c r="A416" s="29" t="s">
        <v>5</v>
      </c>
      <c r="B416" s="62" t="s">
        <v>138</v>
      </c>
      <c r="C416" s="6">
        <v>0</v>
      </c>
      <c r="D416" s="6">
        <v>0</v>
      </c>
      <c r="E416" s="88">
        <f t="shared" si="10"/>
        <v>0</v>
      </c>
      <c r="F416" s="6">
        <v>0</v>
      </c>
      <c r="G416" s="6">
        <v>0</v>
      </c>
    </row>
    <row r="417" spans="1:7" ht="12.75">
      <c r="A417" s="29" t="s">
        <v>66</v>
      </c>
      <c r="B417" s="34" t="s">
        <v>139</v>
      </c>
      <c r="C417" s="6">
        <v>0</v>
      </c>
      <c r="D417" s="6">
        <v>0</v>
      </c>
      <c r="E417" s="88">
        <f t="shared" si="10"/>
        <v>0</v>
      </c>
      <c r="F417" s="6">
        <v>0</v>
      </c>
      <c r="G417" s="6">
        <v>0</v>
      </c>
    </row>
    <row r="418" spans="1:7" ht="12.75">
      <c r="A418" s="29" t="s">
        <v>270</v>
      </c>
      <c r="B418" s="62" t="s">
        <v>271</v>
      </c>
      <c r="C418" s="6">
        <v>0</v>
      </c>
      <c r="D418" s="6">
        <v>0</v>
      </c>
      <c r="E418" s="88">
        <f t="shared" si="10"/>
        <v>0</v>
      </c>
      <c r="F418" s="88">
        <v>0</v>
      </c>
      <c r="G418" s="88">
        <v>0</v>
      </c>
    </row>
    <row r="419" spans="1:7" ht="12.75">
      <c r="A419" s="41" t="s">
        <v>58</v>
      </c>
      <c r="B419" s="63" t="s">
        <v>153</v>
      </c>
      <c r="C419" s="6">
        <v>0</v>
      </c>
      <c r="D419" s="6">
        <v>0</v>
      </c>
      <c r="E419" s="88">
        <f t="shared" si="10"/>
        <v>0</v>
      </c>
      <c r="F419" s="6">
        <v>0</v>
      </c>
      <c r="G419" s="6">
        <v>0</v>
      </c>
    </row>
    <row r="420" spans="1:11" ht="12.75">
      <c r="A420" s="43" t="s">
        <v>192</v>
      </c>
      <c r="B420" s="5"/>
      <c r="C420" s="140">
        <f>SUM(C403:C419)</f>
        <v>0</v>
      </c>
      <c r="D420" s="8">
        <f>SUM(D403:D419)</f>
        <v>0</v>
      </c>
      <c r="E420" s="8">
        <f>SUM(E403:E419)</f>
        <v>200000</v>
      </c>
      <c r="F420" s="8">
        <f>SUM(F403:F419)</f>
        <v>200000</v>
      </c>
      <c r="G420" s="8">
        <f>SUM(G403:G419)</f>
        <v>176000</v>
      </c>
      <c r="J420" s="14"/>
      <c r="K420" s="14"/>
    </row>
    <row r="421" spans="1:7" ht="6.75" customHeight="1">
      <c r="A421" s="18"/>
      <c r="B421" s="5"/>
      <c r="C421" s="140"/>
      <c r="D421" s="8"/>
      <c r="E421" s="8"/>
      <c r="F421" s="8"/>
      <c r="G421" s="8"/>
    </row>
    <row r="422" spans="1:7" ht="12.75">
      <c r="A422" s="43" t="s">
        <v>44</v>
      </c>
      <c r="B422" s="5"/>
      <c r="C422" s="77"/>
      <c r="D422" s="64"/>
      <c r="E422" s="64"/>
      <c r="F422" s="64"/>
      <c r="G422" s="64"/>
    </row>
    <row r="423" spans="1:7" ht="12.75">
      <c r="A423" s="29" t="s">
        <v>26</v>
      </c>
      <c r="B423" s="39" t="s">
        <v>155</v>
      </c>
      <c r="C423" s="6">
        <v>0</v>
      </c>
      <c r="D423" s="6">
        <v>0</v>
      </c>
      <c r="E423" s="88">
        <f>F423-D423</f>
        <v>0</v>
      </c>
      <c r="F423" s="6">
        <v>0</v>
      </c>
      <c r="G423" s="6">
        <v>0</v>
      </c>
    </row>
    <row r="424" spans="1:7" ht="12.75">
      <c r="A424" s="29" t="s">
        <v>211</v>
      </c>
      <c r="B424" s="39" t="s">
        <v>156</v>
      </c>
      <c r="C424" s="6">
        <v>0</v>
      </c>
      <c r="D424" s="6">
        <v>0</v>
      </c>
      <c r="E424" s="88">
        <f>F424-D424</f>
        <v>0</v>
      </c>
      <c r="F424" s="6">
        <v>0</v>
      </c>
      <c r="G424" s="6">
        <v>0</v>
      </c>
    </row>
    <row r="425" spans="1:7" ht="12.75">
      <c r="A425" s="29" t="s">
        <v>92</v>
      </c>
      <c r="B425" s="39" t="s">
        <v>157</v>
      </c>
      <c r="C425" s="6">
        <v>0</v>
      </c>
      <c r="D425" s="6">
        <v>0</v>
      </c>
      <c r="E425" s="88">
        <f>F425-D425</f>
        <v>50000</v>
      </c>
      <c r="F425" s="6">
        <v>50000</v>
      </c>
      <c r="G425" s="6">
        <v>0</v>
      </c>
    </row>
    <row r="426" spans="1:12" ht="12.75">
      <c r="A426" s="43" t="s">
        <v>77</v>
      </c>
      <c r="B426" s="5"/>
      <c r="C426" s="140">
        <f>SUM(C423:C425)</f>
        <v>0</v>
      </c>
      <c r="D426" s="8">
        <f>SUM(D423:D425)</f>
        <v>0</v>
      </c>
      <c r="E426" s="8">
        <f>SUM(E423:E425)</f>
        <v>50000</v>
      </c>
      <c r="F426" s="8">
        <f>SUM(F423:F425)</f>
        <v>50000</v>
      </c>
      <c r="G426" s="8">
        <f>SUM(G423:G425)</f>
        <v>0</v>
      </c>
      <c r="L426" s="14"/>
    </row>
    <row r="427" spans="1:7" ht="3" customHeight="1">
      <c r="A427" s="5"/>
      <c r="B427" s="5"/>
      <c r="C427" s="6"/>
      <c r="D427" s="6"/>
      <c r="E427" s="6"/>
      <c r="F427" s="6"/>
      <c r="G427" s="6"/>
    </row>
    <row r="428" spans="1:8" ht="12.75">
      <c r="A428" s="7" t="s">
        <v>34</v>
      </c>
      <c r="B428" s="7"/>
      <c r="C428" s="8">
        <f>C389+C420+C426</f>
        <v>0</v>
      </c>
      <c r="D428" s="8">
        <f>D389+D420+D426</f>
        <v>0</v>
      </c>
      <c r="E428" s="8">
        <f>E389+E420+E426</f>
        <v>913389.72</v>
      </c>
      <c r="F428" s="8">
        <f>F389+F420+F426</f>
        <v>913389.72</v>
      </c>
      <c r="G428" s="8">
        <f>G389+G420+G426</f>
        <v>861478.57</v>
      </c>
      <c r="H428" s="14"/>
    </row>
    <row r="429" spans="1:7" ht="12.75">
      <c r="A429" s="4"/>
      <c r="B429" s="4"/>
      <c r="C429" s="10"/>
      <c r="D429" s="155"/>
      <c r="E429" s="155"/>
      <c r="F429" s="117"/>
      <c r="G429" s="4"/>
    </row>
    <row r="430" spans="1:7" ht="12.75">
      <c r="A430" s="2"/>
      <c r="B430" s="2"/>
      <c r="C430" s="2"/>
      <c r="D430" s="2"/>
      <c r="E430" s="2"/>
      <c r="F430" s="2"/>
      <c r="G430" s="59"/>
    </row>
    <row r="431" spans="1:7" ht="12.75">
      <c r="A431" s="2" t="s">
        <v>185</v>
      </c>
      <c r="B431" s="2" t="s">
        <v>186</v>
      </c>
      <c r="C431" s="2"/>
      <c r="D431" s="2"/>
      <c r="E431" s="161" t="s">
        <v>170</v>
      </c>
      <c r="F431" s="2"/>
      <c r="G431" s="59"/>
    </row>
    <row r="432" spans="1:7" ht="12.75">
      <c r="A432" s="2"/>
      <c r="B432" s="2"/>
      <c r="C432" s="2"/>
      <c r="D432" s="2"/>
      <c r="E432" s="161"/>
      <c r="F432" s="2"/>
      <c r="G432" s="2"/>
    </row>
    <row r="433" spans="1:7" ht="12.75">
      <c r="A433" s="2"/>
      <c r="B433" s="2"/>
      <c r="C433" s="2"/>
      <c r="D433" s="2"/>
      <c r="E433" s="161"/>
      <c r="F433" s="2"/>
      <c r="G433" s="2"/>
    </row>
    <row r="434" spans="1:7" ht="12.75">
      <c r="A434" s="2"/>
      <c r="B434" s="22"/>
      <c r="C434" s="22"/>
      <c r="D434" s="22"/>
      <c r="E434" s="162"/>
      <c r="F434" s="22"/>
      <c r="G434" s="2"/>
    </row>
    <row r="435" spans="1:7" ht="12.75">
      <c r="A435" s="98" t="s">
        <v>161</v>
      </c>
      <c r="B435" s="22" t="s">
        <v>277</v>
      </c>
      <c r="C435" s="22"/>
      <c r="D435" s="22"/>
      <c r="E435" s="162" t="s">
        <v>161</v>
      </c>
      <c r="F435" s="22"/>
      <c r="G435" s="2"/>
    </row>
    <row r="436" spans="1:7" ht="12.75">
      <c r="A436" s="74" t="s">
        <v>25</v>
      </c>
      <c r="B436" s="2" t="s">
        <v>373</v>
      </c>
      <c r="C436" s="2"/>
      <c r="D436" s="2"/>
      <c r="E436" s="161" t="s">
        <v>25</v>
      </c>
      <c r="F436" s="2"/>
      <c r="G436" s="2"/>
    </row>
    <row r="437" spans="1:7" ht="12.75">
      <c r="A437" s="19" t="s">
        <v>208</v>
      </c>
      <c r="B437" s="2"/>
      <c r="C437" s="2"/>
      <c r="D437" s="2"/>
      <c r="E437" s="2"/>
      <c r="F437" s="2"/>
      <c r="G437" s="2"/>
    </row>
    <row r="438" spans="1:7" ht="12.75">
      <c r="A438" s="19"/>
      <c r="B438" s="2"/>
      <c r="C438" s="2"/>
      <c r="D438" s="2"/>
      <c r="E438" s="2"/>
      <c r="F438" s="2"/>
      <c r="G438" s="2"/>
    </row>
    <row r="439" spans="1:7" ht="15">
      <c r="A439" s="474" t="s">
        <v>165</v>
      </c>
      <c r="B439" s="474"/>
      <c r="C439" s="474"/>
      <c r="D439" s="474"/>
      <c r="E439" s="474"/>
      <c r="F439" s="474"/>
      <c r="G439" s="474"/>
    </row>
    <row r="440" spans="1:7" ht="15">
      <c r="A440" s="474" t="s">
        <v>172</v>
      </c>
      <c r="B440" s="474"/>
      <c r="C440" s="474"/>
      <c r="D440" s="474"/>
      <c r="E440" s="474"/>
      <c r="F440" s="474"/>
      <c r="G440" s="474"/>
    </row>
    <row r="441" spans="1:7" ht="12.75">
      <c r="A441" s="54"/>
      <c r="B441" s="54"/>
      <c r="C441" s="54"/>
      <c r="D441" s="54"/>
      <c r="E441" s="54"/>
      <c r="F441" s="54"/>
      <c r="G441" s="54"/>
    </row>
    <row r="442" spans="1:7" ht="12.75">
      <c r="A442" s="54"/>
      <c r="B442" s="54"/>
      <c r="C442" s="54"/>
      <c r="D442" s="54"/>
      <c r="E442" s="54"/>
      <c r="F442" s="54"/>
      <c r="G442" s="54"/>
    </row>
    <row r="443" spans="1:7" ht="12.75">
      <c r="A443" s="21" t="s">
        <v>52</v>
      </c>
      <c r="B443" s="21" t="s">
        <v>368</v>
      </c>
      <c r="C443" s="21"/>
      <c r="D443" s="21"/>
      <c r="E443" s="21"/>
      <c r="F443" s="2"/>
      <c r="G443" s="2"/>
    </row>
    <row r="444" spans="1:7" ht="12.75">
      <c r="A444" s="2"/>
      <c r="B444" s="2"/>
      <c r="C444" s="2"/>
      <c r="D444" s="2"/>
      <c r="E444" s="2"/>
      <c r="F444" s="2"/>
      <c r="G444" s="2"/>
    </row>
    <row r="445" spans="1:7" ht="12.75">
      <c r="A445" s="23"/>
      <c r="B445" s="23"/>
      <c r="C445" s="475" t="s">
        <v>79</v>
      </c>
      <c r="D445" s="479" t="s">
        <v>166</v>
      </c>
      <c r="E445" s="480"/>
      <c r="F445" s="481"/>
      <c r="G445" s="482" t="s">
        <v>73</v>
      </c>
    </row>
    <row r="446" spans="1:7" ht="12.75">
      <c r="A446" s="24" t="s">
        <v>167</v>
      </c>
      <c r="B446" s="304" t="s">
        <v>241</v>
      </c>
      <c r="C446" s="476"/>
      <c r="D446" s="24" t="s">
        <v>168</v>
      </c>
      <c r="E446" s="24" t="s">
        <v>169</v>
      </c>
      <c r="F446" s="477" t="s">
        <v>23</v>
      </c>
      <c r="G446" s="483"/>
    </row>
    <row r="447" spans="1:7" ht="12.75">
      <c r="A447" s="24"/>
      <c r="B447" s="24"/>
      <c r="C447" s="24" t="s">
        <v>53</v>
      </c>
      <c r="D447" s="24" t="s">
        <v>53</v>
      </c>
      <c r="E447" s="156" t="s">
        <v>86</v>
      </c>
      <c r="F447" s="478"/>
      <c r="G447" s="3" t="s">
        <v>54</v>
      </c>
    </row>
    <row r="448" spans="1:7" ht="12.75">
      <c r="A448" s="46">
        <v>1</v>
      </c>
      <c r="B448" s="46">
        <v>2</v>
      </c>
      <c r="C448" s="46">
        <v>3</v>
      </c>
      <c r="D448" s="90">
        <v>4</v>
      </c>
      <c r="E448" s="90">
        <v>5</v>
      </c>
      <c r="F448" s="90">
        <v>6</v>
      </c>
      <c r="G448" s="91">
        <v>7</v>
      </c>
    </row>
    <row r="449" spans="1:7" ht="12.75">
      <c r="A449" s="5"/>
      <c r="B449" s="5"/>
      <c r="C449" s="5"/>
      <c r="D449" s="116"/>
      <c r="E449" s="116"/>
      <c r="F449" s="116"/>
      <c r="G449" s="5"/>
    </row>
    <row r="450" spans="1:7" ht="15">
      <c r="A450" s="42" t="s">
        <v>43</v>
      </c>
      <c r="B450" s="72"/>
      <c r="C450" s="5"/>
      <c r="D450" s="116"/>
      <c r="E450" s="116"/>
      <c r="F450" s="116"/>
      <c r="G450" s="92"/>
    </row>
    <row r="451" spans="1:7" ht="12.75">
      <c r="A451" s="41" t="s">
        <v>222</v>
      </c>
      <c r="B451" s="157" t="s">
        <v>113</v>
      </c>
      <c r="C451" s="6">
        <v>0</v>
      </c>
      <c r="D451" s="6">
        <v>0</v>
      </c>
      <c r="E451" s="88">
        <f>F451-D451</f>
        <v>259476</v>
      </c>
      <c r="F451" s="6">
        <v>259476</v>
      </c>
      <c r="G451" s="6">
        <v>275400</v>
      </c>
    </row>
    <row r="452" spans="1:7" ht="12.75">
      <c r="A452" s="41" t="s">
        <v>204</v>
      </c>
      <c r="B452" s="157" t="s">
        <v>114</v>
      </c>
      <c r="C452" s="6">
        <v>0</v>
      </c>
      <c r="D452" s="6">
        <v>0</v>
      </c>
      <c r="E452" s="88">
        <f aca="true" t="shared" si="11" ref="E452:E465">F452-D452</f>
        <v>0</v>
      </c>
      <c r="F452" s="6">
        <v>0</v>
      </c>
      <c r="G452" s="6">
        <v>0</v>
      </c>
    </row>
    <row r="453" spans="1:7" ht="12.75">
      <c r="A453" s="29" t="s">
        <v>100</v>
      </c>
      <c r="B453" s="157" t="s">
        <v>114</v>
      </c>
      <c r="C453" s="6">
        <v>0</v>
      </c>
      <c r="D453" s="6">
        <v>0</v>
      </c>
      <c r="E453" s="88">
        <f t="shared" si="11"/>
        <v>24000</v>
      </c>
      <c r="F453" s="6">
        <v>24000</v>
      </c>
      <c r="G453" s="6">
        <v>24000</v>
      </c>
    </row>
    <row r="454" spans="1:7" ht="12.75">
      <c r="A454" s="41" t="s">
        <v>42</v>
      </c>
      <c r="B454" s="157" t="s">
        <v>115</v>
      </c>
      <c r="C454" s="6">
        <v>0</v>
      </c>
      <c r="D454" s="6">
        <v>0</v>
      </c>
      <c r="E454" s="88">
        <f t="shared" si="11"/>
        <v>0</v>
      </c>
      <c r="F454" s="6">
        <v>0</v>
      </c>
      <c r="G454" s="6">
        <v>0</v>
      </c>
    </row>
    <row r="455" spans="1:7" ht="12.75">
      <c r="A455" s="41" t="s">
        <v>18</v>
      </c>
      <c r="B455" s="157" t="s">
        <v>116</v>
      </c>
      <c r="C455" s="6">
        <v>0</v>
      </c>
      <c r="D455" s="6">
        <v>0</v>
      </c>
      <c r="E455" s="88">
        <f t="shared" si="11"/>
        <v>6000</v>
      </c>
      <c r="F455" s="6">
        <v>6000</v>
      </c>
      <c r="G455" s="6">
        <v>6000</v>
      </c>
    </row>
    <row r="456" spans="1:7" ht="12.75">
      <c r="A456" s="41" t="s">
        <v>175</v>
      </c>
      <c r="B456" s="157" t="s">
        <v>176</v>
      </c>
      <c r="C456" s="6">
        <v>0</v>
      </c>
      <c r="D456" s="6">
        <v>0</v>
      </c>
      <c r="E456" s="88">
        <f t="shared" si="11"/>
        <v>5000</v>
      </c>
      <c r="F456" s="64">
        <v>5000</v>
      </c>
      <c r="G456" s="64">
        <v>5000</v>
      </c>
    </row>
    <row r="457" spans="1:7" ht="12.75">
      <c r="A457" s="41" t="s">
        <v>27</v>
      </c>
      <c r="B457" s="157" t="s">
        <v>117</v>
      </c>
      <c r="C457" s="6">
        <v>0</v>
      </c>
      <c r="D457" s="6">
        <v>0</v>
      </c>
      <c r="E457" s="88">
        <f t="shared" si="11"/>
        <v>5000</v>
      </c>
      <c r="F457" s="6">
        <v>5000</v>
      </c>
      <c r="G457" s="6">
        <v>5000</v>
      </c>
    </row>
    <row r="458" spans="1:7" ht="12.75">
      <c r="A458" s="41" t="s">
        <v>96</v>
      </c>
      <c r="B458" s="157" t="s">
        <v>118</v>
      </c>
      <c r="C458" s="6">
        <v>0</v>
      </c>
      <c r="D458" s="6">
        <v>0</v>
      </c>
      <c r="E458" s="88">
        <f t="shared" si="11"/>
        <v>21623</v>
      </c>
      <c r="F458" s="6">
        <f>(F451+F452)/12</f>
        <v>21623</v>
      </c>
      <c r="G458" s="6">
        <f>(G451+G452)/12</f>
        <v>22950</v>
      </c>
    </row>
    <row r="459" spans="1:7" ht="12.75">
      <c r="A459" s="41" t="s">
        <v>173</v>
      </c>
      <c r="B459" s="157" t="s">
        <v>174</v>
      </c>
      <c r="C459" s="6">
        <v>0</v>
      </c>
      <c r="D459" s="6">
        <v>0</v>
      </c>
      <c r="E459" s="88">
        <f t="shared" si="11"/>
        <v>21623</v>
      </c>
      <c r="F459" s="6">
        <f>F458</f>
        <v>21623</v>
      </c>
      <c r="G459" s="6">
        <f>G458</f>
        <v>22950</v>
      </c>
    </row>
    <row r="460" spans="1:7" ht="12.75">
      <c r="A460" s="41" t="s">
        <v>232</v>
      </c>
      <c r="B460" s="157" t="s">
        <v>119</v>
      </c>
      <c r="C460" s="6">
        <v>0</v>
      </c>
      <c r="D460" s="6">
        <v>0</v>
      </c>
      <c r="E460" s="88">
        <f t="shared" si="11"/>
        <v>31137.12</v>
      </c>
      <c r="F460" s="6">
        <f>(F452+F451)*12%</f>
        <v>31137.12</v>
      </c>
      <c r="G460" s="6">
        <v>33048</v>
      </c>
    </row>
    <row r="461" spans="1:7" ht="12.75">
      <c r="A461" s="41" t="s">
        <v>28</v>
      </c>
      <c r="B461" s="157" t="s">
        <v>120</v>
      </c>
      <c r="C461" s="6">
        <v>0</v>
      </c>
      <c r="D461" s="6">
        <v>0</v>
      </c>
      <c r="E461" s="88">
        <f t="shared" si="11"/>
        <v>1200</v>
      </c>
      <c r="F461" s="6">
        <v>1200</v>
      </c>
      <c r="G461" s="6">
        <v>1200</v>
      </c>
    </row>
    <row r="462" spans="1:7" ht="12.75">
      <c r="A462" s="41" t="s">
        <v>69</v>
      </c>
      <c r="B462" s="157" t="s">
        <v>121</v>
      </c>
      <c r="C462" s="6">
        <v>0</v>
      </c>
      <c r="D462" s="6">
        <v>0</v>
      </c>
      <c r="E462" s="88">
        <f t="shared" si="11"/>
        <v>5189.52</v>
      </c>
      <c r="F462" s="6">
        <v>5189.52</v>
      </c>
      <c r="G462" s="6">
        <v>6196.5</v>
      </c>
    </row>
    <row r="463" spans="1:7" ht="12.75">
      <c r="A463" s="29" t="s">
        <v>122</v>
      </c>
      <c r="B463" s="157" t="s">
        <v>123</v>
      </c>
      <c r="C463" s="6">
        <v>0</v>
      </c>
      <c r="D463" s="6">
        <v>0</v>
      </c>
      <c r="E463" s="88">
        <f t="shared" si="11"/>
        <v>1200</v>
      </c>
      <c r="F463" s="6">
        <v>1200</v>
      </c>
      <c r="G463" s="6">
        <v>1200</v>
      </c>
    </row>
    <row r="464" spans="1:7" ht="12.75">
      <c r="A464" s="41" t="s">
        <v>68</v>
      </c>
      <c r="B464" s="157" t="s">
        <v>124</v>
      </c>
      <c r="C464" s="6">
        <v>0</v>
      </c>
      <c r="D464" s="6">
        <v>0</v>
      </c>
      <c r="E464" s="88">
        <f t="shared" si="11"/>
        <v>0</v>
      </c>
      <c r="F464" s="6">
        <v>0</v>
      </c>
      <c r="G464" s="6">
        <v>0</v>
      </c>
    </row>
    <row r="465" spans="1:7" ht="12.75">
      <c r="A465" s="41" t="s">
        <v>99</v>
      </c>
      <c r="B465" s="157" t="s">
        <v>125</v>
      </c>
      <c r="C465" s="6">
        <v>0</v>
      </c>
      <c r="D465" s="6">
        <v>0</v>
      </c>
      <c r="E465" s="88">
        <f t="shared" si="11"/>
        <v>10420.71</v>
      </c>
      <c r="F465" s="60">
        <v>10420.71</v>
      </c>
      <c r="G465" s="60">
        <v>11060.22</v>
      </c>
    </row>
    <row r="466" spans="1:9" ht="12.75">
      <c r="A466" s="18" t="s">
        <v>193</v>
      </c>
      <c r="B466" s="33"/>
      <c r="C466" s="8">
        <f>SUM(C451:C465)</f>
        <v>0</v>
      </c>
      <c r="D466" s="8">
        <f>SUM(D451:D465)</f>
        <v>0</v>
      </c>
      <c r="E466" s="8">
        <f>SUM(E451:E465)</f>
        <v>391869.35000000003</v>
      </c>
      <c r="F466" s="8">
        <f>SUM(F451:F465)</f>
        <v>391869.35000000003</v>
      </c>
      <c r="G466" s="140">
        <f>SUM(G451:G465)</f>
        <v>414004.72</v>
      </c>
      <c r="I466" s="14"/>
    </row>
    <row r="467" spans="1:7" ht="12.75">
      <c r="A467" s="5"/>
      <c r="B467" s="33"/>
      <c r="C467" s="6"/>
      <c r="D467" s="6"/>
      <c r="E467" s="6"/>
      <c r="F467" s="6"/>
      <c r="G467" s="6"/>
    </row>
    <row r="468" spans="1:7" ht="12.75">
      <c r="A468" s="5"/>
      <c r="B468" s="33"/>
      <c r="C468" s="6"/>
      <c r="D468" s="6"/>
      <c r="E468" s="6"/>
      <c r="F468" s="6"/>
      <c r="G468" s="6"/>
    </row>
    <row r="469" spans="1:7" ht="12.75">
      <c r="A469" s="179"/>
      <c r="B469" s="182"/>
      <c r="C469" s="183"/>
      <c r="D469" s="183"/>
      <c r="E469" s="183"/>
      <c r="F469" s="183"/>
      <c r="G469" s="183"/>
    </row>
    <row r="470" spans="1:7" ht="12.75">
      <c r="A470" s="2"/>
      <c r="B470" s="36"/>
      <c r="C470" s="59"/>
      <c r="D470" s="59"/>
      <c r="E470" s="59"/>
      <c r="F470" s="59"/>
      <c r="G470" s="59"/>
    </row>
    <row r="471" spans="1:7" ht="12.75">
      <c r="A471" s="2"/>
      <c r="B471" s="36"/>
      <c r="C471" s="59"/>
      <c r="D471" s="59"/>
      <c r="E471" s="59"/>
      <c r="F471" s="59"/>
      <c r="G471" s="59"/>
    </row>
    <row r="472" spans="1:7" ht="12.75">
      <c r="A472" s="2"/>
      <c r="B472" s="36"/>
      <c r="C472" s="59"/>
      <c r="D472" s="59"/>
      <c r="E472" s="59"/>
      <c r="F472" s="59"/>
      <c r="G472" s="59"/>
    </row>
    <row r="473" spans="1:7" ht="12.75">
      <c r="A473" s="2"/>
      <c r="B473" s="36"/>
      <c r="C473" s="59"/>
      <c r="D473" s="59"/>
      <c r="E473" s="59"/>
      <c r="F473" s="59"/>
      <c r="G473" s="59"/>
    </row>
    <row r="474" spans="1:7" ht="12.75">
      <c r="A474" s="68"/>
      <c r="B474" s="184"/>
      <c r="C474" s="185"/>
      <c r="D474" s="185"/>
      <c r="E474" s="185"/>
      <c r="F474" s="185"/>
      <c r="G474" s="185"/>
    </row>
    <row r="475" spans="1:7" ht="12.75">
      <c r="A475" s="23"/>
      <c r="B475" s="23"/>
      <c r="C475" s="475" t="s">
        <v>79</v>
      </c>
      <c r="D475" s="479" t="s">
        <v>166</v>
      </c>
      <c r="E475" s="480"/>
      <c r="F475" s="481"/>
      <c r="G475" s="482" t="s">
        <v>73</v>
      </c>
    </row>
    <row r="476" spans="1:7" ht="12.75">
      <c r="A476" s="24" t="s">
        <v>167</v>
      </c>
      <c r="B476" s="304" t="s">
        <v>241</v>
      </c>
      <c r="C476" s="476"/>
      <c r="D476" s="24" t="s">
        <v>168</v>
      </c>
      <c r="E476" s="24" t="s">
        <v>169</v>
      </c>
      <c r="F476" s="477" t="s">
        <v>23</v>
      </c>
      <c r="G476" s="483"/>
    </row>
    <row r="477" spans="1:7" ht="12.75">
      <c r="A477" s="24"/>
      <c r="B477" s="24"/>
      <c r="C477" s="24" t="s">
        <v>53</v>
      </c>
      <c r="D477" s="24" t="s">
        <v>53</v>
      </c>
      <c r="E477" s="156" t="s">
        <v>86</v>
      </c>
      <c r="F477" s="478"/>
      <c r="G477" s="3" t="s">
        <v>54</v>
      </c>
    </row>
    <row r="478" spans="1:7" ht="12.75">
      <c r="A478" s="46">
        <v>1</v>
      </c>
      <c r="B478" s="46">
        <v>2</v>
      </c>
      <c r="C478" s="46">
        <v>3</v>
      </c>
      <c r="D478" s="90">
        <v>4</v>
      </c>
      <c r="E478" s="90">
        <v>5</v>
      </c>
      <c r="F478" s="90">
        <v>6</v>
      </c>
      <c r="G478" s="91">
        <v>7</v>
      </c>
    </row>
    <row r="479" spans="1:7" ht="12.75">
      <c r="A479" s="5"/>
      <c r="B479" s="33"/>
      <c r="C479" s="6"/>
      <c r="D479" s="6"/>
      <c r="E479" s="6"/>
      <c r="F479" s="6"/>
      <c r="G479" s="6"/>
    </row>
    <row r="480" spans="1:7" ht="12.75">
      <c r="A480" s="32" t="s">
        <v>189</v>
      </c>
      <c r="B480" s="72"/>
      <c r="C480" s="139"/>
      <c r="D480" s="6"/>
      <c r="E480" s="6"/>
      <c r="F480" s="6"/>
      <c r="G480" s="6"/>
    </row>
    <row r="481" spans="1:7" ht="12.75">
      <c r="A481" s="29" t="s">
        <v>191</v>
      </c>
      <c r="B481" s="62" t="s">
        <v>126</v>
      </c>
      <c r="C481" s="6">
        <v>0</v>
      </c>
      <c r="D481" s="6">
        <v>5600</v>
      </c>
      <c r="E481" s="88">
        <f aca="true" t="shared" si="12" ref="E481:E497">F481-D481</f>
        <v>39400</v>
      </c>
      <c r="F481" s="6">
        <v>45000</v>
      </c>
      <c r="G481" s="6">
        <v>45000</v>
      </c>
    </row>
    <row r="482" spans="1:7" ht="12.75">
      <c r="A482" s="41" t="s">
        <v>19</v>
      </c>
      <c r="B482" s="62" t="s">
        <v>127</v>
      </c>
      <c r="C482" s="6">
        <v>0</v>
      </c>
      <c r="D482" s="6">
        <v>0</v>
      </c>
      <c r="E482" s="88">
        <f t="shared" si="12"/>
        <v>20000</v>
      </c>
      <c r="F482" s="6">
        <v>20000</v>
      </c>
      <c r="G482" s="6">
        <v>20000</v>
      </c>
    </row>
    <row r="483" spans="1:7" ht="12.75">
      <c r="A483" s="41" t="s">
        <v>2</v>
      </c>
      <c r="B483" s="62" t="s">
        <v>128</v>
      </c>
      <c r="C483" s="6">
        <v>0</v>
      </c>
      <c r="D483" s="6">
        <v>0</v>
      </c>
      <c r="E483" s="88">
        <f t="shared" si="12"/>
        <v>40000</v>
      </c>
      <c r="F483" s="6">
        <v>40000</v>
      </c>
      <c r="G483" s="6">
        <v>40000</v>
      </c>
    </row>
    <row r="484" spans="1:7" ht="12.75">
      <c r="A484" s="41" t="s">
        <v>353</v>
      </c>
      <c r="B484" s="62" t="s">
        <v>219</v>
      </c>
      <c r="C484" s="6">
        <v>0</v>
      </c>
      <c r="D484" s="6">
        <v>0</v>
      </c>
      <c r="E484" s="88">
        <f t="shared" si="12"/>
        <v>0</v>
      </c>
      <c r="F484" s="6">
        <v>0</v>
      </c>
      <c r="G484" s="6">
        <v>0</v>
      </c>
    </row>
    <row r="485" spans="1:7" ht="12.75">
      <c r="A485" s="105" t="s">
        <v>201</v>
      </c>
      <c r="B485" s="62" t="s">
        <v>130</v>
      </c>
      <c r="C485" s="6">
        <v>0</v>
      </c>
      <c r="D485" s="6">
        <v>0</v>
      </c>
      <c r="E485" s="88">
        <f t="shared" si="12"/>
        <v>0</v>
      </c>
      <c r="F485" s="6">
        <v>0</v>
      </c>
      <c r="G485" s="6">
        <v>0</v>
      </c>
    </row>
    <row r="486" spans="1:7" ht="12.75">
      <c r="A486" s="29" t="s">
        <v>63</v>
      </c>
      <c r="B486" s="62" t="s">
        <v>131</v>
      </c>
      <c r="C486" s="6">
        <v>0</v>
      </c>
      <c r="D486" s="6">
        <v>0</v>
      </c>
      <c r="E486" s="88">
        <f t="shared" si="12"/>
        <v>2143.97</v>
      </c>
      <c r="F486" s="6">
        <v>2143.97</v>
      </c>
      <c r="G486" s="6">
        <v>2000</v>
      </c>
    </row>
    <row r="487" spans="1:7" ht="12.75">
      <c r="A487" s="29" t="s">
        <v>133</v>
      </c>
      <c r="B487" s="62" t="s">
        <v>134</v>
      </c>
      <c r="C487" s="6">
        <v>0</v>
      </c>
      <c r="D487" s="6">
        <v>0</v>
      </c>
      <c r="E487" s="88">
        <f t="shared" si="12"/>
        <v>0</v>
      </c>
      <c r="F487" s="6">
        <v>0</v>
      </c>
      <c r="G487" s="6">
        <v>0</v>
      </c>
    </row>
    <row r="488" spans="1:7" ht="12.75">
      <c r="A488" s="29" t="s">
        <v>227</v>
      </c>
      <c r="B488" s="62" t="s">
        <v>135</v>
      </c>
      <c r="C488" s="6">
        <v>0</v>
      </c>
      <c r="D488" s="6">
        <v>0</v>
      </c>
      <c r="E488" s="88">
        <f t="shared" si="12"/>
        <v>84000</v>
      </c>
      <c r="F488" s="6">
        <v>84000</v>
      </c>
      <c r="G488" s="6">
        <v>0</v>
      </c>
    </row>
    <row r="489" spans="1:7" ht="12.75">
      <c r="A489" s="41" t="s">
        <v>45</v>
      </c>
      <c r="B489" s="63" t="s">
        <v>136</v>
      </c>
      <c r="C489" s="6">
        <v>0</v>
      </c>
      <c r="D489" s="6">
        <v>0</v>
      </c>
      <c r="E489" s="88">
        <f t="shared" si="12"/>
        <v>0</v>
      </c>
      <c r="F489" s="6">
        <v>0</v>
      </c>
      <c r="G489" s="6">
        <v>0</v>
      </c>
    </row>
    <row r="490" spans="1:7" ht="12.75">
      <c r="A490" s="29" t="s">
        <v>251</v>
      </c>
      <c r="B490" s="62" t="s">
        <v>252</v>
      </c>
      <c r="C490" s="6">
        <v>0</v>
      </c>
      <c r="D490" s="6">
        <v>0</v>
      </c>
      <c r="E490" s="88">
        <f t="shared" si="12"/>
        <v>0</v>
      </c>
      <c r="F490" s="283">
        <v>0</v>
      </c>
      <c r="G490" s="283">
        <v>0</v>
      </c>
    </row>
    <row r="491" spans="1:7" ht="12.75">
      <c r="A491" s="29" t="s">
        <v>253</v>
      </c>
      <c r="B491" s="62" t="s">
        <v>254</v>
      </c>
      <c r="C491" s="6">
        <v>0</v>
      </c>
      <c r="D491" s="6">
        <v>0</v>
      </c>
      <c r="E491" s="88">
        <f t="shared" si="12"/>
        <v>92400</v>
      </c>
      <c r="F491" s="283">
        <v>92400</v>
      </c>
      <c r="G491" s="283">
        <v>92400</v>
      </c>
    </row>
    <row r="492" spans="1:7" ht="12.75">
      <c r="A492" s="29" t="s">
        <v>146</v>
      </c>
      <c r="B492" s="62" t="s">
        <v>147</v>
      </c>
      <c r="C492" s="6">
        <v>0</v>
      </c>
      <c r="D492" s="6">
        <v>0</v>
      </c>
      <c r="E492" s="88">
        <f t="shared" si="12"/>
        <v>0</v>
      </c>
      <c r="F492" s="6">
        <v>0</v>
      </c>
      <c r="G492" s="6">
        <v>0</v>
      </c>
    </row>
    <row r="493" spans="1:7" ht="12.75">
      <c r="A493" s="131" t="s">
        <v>148</v>
      </c>
      <c r="B493" s="190" t="s">
        <v>149</v>
      </c>
      <c r="C493" s="6">
        <v>0</v>
      </c>
      <c r="D493" s="6">
        <v>0</v>
      </c>
      <c r="E493" s="88">
        <f t="shared" si="12"/>
        <v>0</v>
      </c>
      <c r="F493" s="6">
        <v>0</v>
      </c>
      <c r="G493" s="6">
        <v>0</v>
      </c>
    </row>
    <row r="494" spans="1:8" ht="12.75">
      <c r="A494" s="29" t="s">
        <v>5</v>
      </c>
      <c r="B494" s="62" t="s">
        <v>138</v>
      </c>
      <c r="C494" s="6">
        <v>0</v>
      </c>
      <c r="D494" s="6">
        <v>0</v>
      </c>
      <c r="E494" s="88">
        <f t="shared" si="12"/>
        <v>0</v>
      </c>
      <c r="F494" s="6">
        <v>0</v>
      </c>
      <c r="G494" s="6">
        <v>0</v>
      </c>
      <c r="H494" s="13"/>
    </row>
    <row r="495" spans="1:7" ht="12.75">
      <c r="A495" s="29" t="s">
        <v>66</v>
      </c>
      <c r="B495" s="34" t="s">
        <v>139</v>
      </c>
      <c r="C495" s="6">
        <v>0</v>
      </c>
      <c r="D495" s="6">
        <v>0</v>
      </c>
      <c r="E495" s="88">
        <f t="shared" si="12"/>
        <v>0</v>
      </c>
      <c r="F495" s="6">
        <v>0</v>
      </c>
      <c r="G495" s="6">
        <v>0</v>
      </c>
    </row>
    <row r="496" spans="1:7" ht="12.75">
      <c r="A496" s="29" t="s">
        <v>270</v>
      </c>
      <c r="B496" s="62" t="s">
        <v>271</v>
      </c>
      <c r="C496" s="6">
        <v>0</v>
      </c>
      <c r="D496" s="6">
        <v>0</v>
      </c>
      <c r="E496" s="88">
        <f t="shared" si="12"/>
        <v>50000</v>
      </c>
      <c r="F496" s="88">
        <v>50000</v>
      </c>
      <c r="G496" s="88">
        <v>50000</v>
      </c>
    </row>
    <row r="497" spans="1:7" ht="12.75">
      <c r="A497" s="41" t="s">
        <v>58</v>
      </c>
      <c r="B497" s="63" t="s">
        <v>153</v>
      </c>
      <c r="C497" s="6">
        <v>0</v>
      </c>
      <c r="D497" s="6">
        <v>0</v>
      </c>
      <c r="E497" s="88">
        <f t="shared" si="12"/>
        <v>200000</v>
      </c>
      <c r="F497" s="6">
        <v>200000</v>
      </c>
      <c r="G497" s="6">
        <v>125600</v>
      </c>
    </row>
    <row r="498" spans="1:11" ht="12.75">
      <c r="A498" s="43" t="s">
        <v>192</v>
      </c>
      <c r="B498" s="5"/>
      <c r="C498" s="140">
        <f>SUM(C481:C497)</f>
        <v>0</v>
      </c>
      <c r="D498" s="8">
        <f>SUM(D481:D497)</f>
        <v>5600</v>
      </c>
      <c r="E498" s="8">
        <f>SUM(E481:E497)</f>
        <v>527943.97</v>
      </c>
      <c r="F498" s="8">
        <f>SUM(F481:F497)</f>
        <v>533543.97</v>
      </c>
      <c r="G498" s="8">
        <f>SUM(G481:G497)</f>
        <v>375000</v>
      </c>
      <c r="I498" s="14"/>
      <c r="J498" s="14"/>
      <c r="K498" s="14"/>
    </row>
    <row r="499" spans="1:7" ht="8.25" customHeight="1">
      <c r="A499" s="18"/>
      <c r="B499" s="5"/>
      <c r="C499" s="140"/>
      <c r="D499" s="8"/>
      <c r="E499" s="8"/>
      <c r="F499" s="8"/>
      <c r="G499" s="8"/>
    </row>
    <row r="500" spans="1:7" ht="12.75">
      <c r="A500" s="43" t="s">
        <v>44</v>
      </c>
      <c r="B500" s="5"/>
      <c r="C500" s="77"/>
      <c r="D500" s="64"/>
      <c r="E500" s="64"/>
      <c r="F500" s="64"/>
      <c r="G500" s="64">
        <f>375000-G498</f>
        <v>0</v>
      </c>
    </row>
    <row r="501" spans="1:7" ht="12.75">
      <c r="A501" s="29" t="s">
        <v>26</v>
      </c>
      <c r="B501" s="39" t="s">
        <v>155</v>
      </c>
      <c r="C501" s="6">
        <v>0</v>
      </c>
      <c r="D501" s="6">
        <v>0</v>
      </c>
      <c r="E501" s="88">
        <f>F501-D501</f>
        <v>0</v>
      </c>
      <c r="F501" s="6">
        <v>0</v>
      </c>
      <c r="G501" s="6">
        <v>0</v>
      </c>
    </row>
    <row r="502" spans="1:7" ht="12.75">
      <c r="A502" s="29" t="s">
        <v>211</v>
      </c>
      <c r="B502" s="39" t="s">
        <v>156</v>
      </c>
      <c r="C502" s="6">
        <v>0</v>
      </c>
      <c r="D502" s="6">
        <v>0</v>
      </c>
      <c r="E502" s="88">
        <f>F502-D502</f>
        <v>0</v>
      </c>
      <c r="F502" s="6">
        <v>0</v>
      </c>
      <c r="G502" s="6">
        <v>0</v>
      </c>
    </row>
    <row r="503" spans="1:7" ht="12.75">
      <c r="A503" s="29" t="s">
        <v>92</v>
      </c>
      <c r="B503" s="39" t="s">
        <v>157</v>
      </c>
      <c r="C503" s="6">
        <v>0</v>
      </c>
      <c r="D503" s="6">
        <v>0</v>
      </c>
      <c r="E503" s="88">
        <f>F503-D503</f>
        <v>85000</v>
      </c>
      <c r="F503" s="6">
        <v>85000</v>
      </c>
      <c r="G503" s="6">
        <v>0</v>
      </c>
    </row>
    <row r="504" spans="1:12" ht="12.75">
      <c r="A504" s="43" t="s">
        <v>77</v>
      </c>
      <c r="B504" s="5"/>
      <c r="C504" s="140">
        <f>SUM(C501:C503)</f>
        <v>0</v>
      </c>
      <c r="D504" s="8">
        <f>SUM(D501:D503)</f>
        <v>0</v>
      </c>
      <c r="E504" s="8">
        <f>SUM(E501:E503)</f>
        <v>85000</v>
      </c>
      <c r="F504" s="8">
        <f>SUM(F501:F503)</f>
        <v>85000</v>
      </c>
      <c r="G504" s="8">
        <f>SUM(G501:G503)</f>
        <v>0</v>
      </c>
      <c r="L504" s="14"/>
    </row>
    <row r="505" spans="1:7" ht="10.5" customHeight="1">
      <c r="A505" s="5"/>
      <c r="B505" s="5"/>
      <c r="C505" s="6"/>
      <c r="D505" s="6"/>
      <c r="E505" s="6"/>
      <c r="F505" s="6"/>
      <c r="G505" s="6"/>
    </row>
    <row r="506" spans="1:8" ht="12.75">
      <c r="A506" s="7" t="s">
        <v>34</v>
      </c>
      <c r="B506" s="7"/>
      <c r="C506" s="8">
        <f>C466+C498+C504</f>
        <v>0</v>
      </c>
      <c r="D506" s="8">
        <f>D466+D498+D504</f>
        <v>5600</v>
      </c>
      <c r="E506" s="8">
        <f>E466+E498+E504</f>
        <v>1004813.3200000001</v>
      </c>
      <c r="F506" s="8">
        <f>F466+F498+F504</f>
        <v>1010413.3200000001</v>
      </c>
      <c r="G506" s="8">
        <f>G466+G498+G504</f>
        <v>789004.72</v>
      </c>
      <c r="H506" s="14"/>
    </row>
    <row r="507" spans="1:7" ht="12.75">
      <c r="A507" s="4"/>
      <c r="B507" s="4"/>
      <c r="C507" s="10"/>
      <c r="D507" s="155"/>
      <c r="E507" s="155"/>
      <c r="F507" s="117"/>
      <c r="G507" s="4"/>
    </row>
    <row r="508" spans="1:7" ht="12.75">
      <c r="A508" s="2"/>
      <c r="B508" s="2"/>
      <c r="C508" s="2"/>
      <c r="D508" s="2"/>
      <c r="E508" s="2"/>
      <c r="F508" s="2"/>
      <c r="G508" s="59"/>
    </row>
    <row r="509" spans="1:7" ht="12.75">
      <c r="A509" s="2" t="s">
        <v>185</v>
      </c>
      <c r="B509" s="2" t="s">
        <v>186</v>
      </c>
      <c r="C509" s="2"/>
      <c r="D509" s="2"/>
      <c r="E509" s="161" t="s">
        <v>170</v>
      </c>
      <c r="F509" s="2"/>
      <c r="G509" s="59"/>
    </row>
    <row r="510" spans="1:7" ht="12.75">
      <c r="A510" s="2"/>
      <c r="B510" s="2"/>
      <c r="C510" s="2"/>
      <c r="D510" s="2"/>
      <c r="E510" s="161"/>
      <c r="F510" s="2"/>
      <c r="G510" s="133"/>
    </row>
    <row r="511" spans="1:7" ht="12.75">
      <c r="A511" s="2"/>
      <c r="B511" s="22"/>
      <c r="C511" s="22"/>
      <c r="D511" s="22"/>
      <c r="E511" s="162"/>
      <c r="F511" s="22"/>
      <c r="G511" s="2"/>
    </row>
    <row r="512" spans="1:7" ht="12.75">
      <c r="A512" s="98" t="s">
        <v>161</v>
      </c>
      <c r="B512" s="22" t="s">
        <v>277</v>
      </c>
      <c r="C512" s="22"/>
      <c r="D512" s="22"/>
      <c r="E512" s="162" t="s">
        <v>161</v>
      </c>
      <c r="F512" s="22"/>
      <c r="G512" s="2"/>
    </row>
    <row r="513" spans="1:7" ht="12.75">
      <c r="A513" s="74" t="s">
        <v>25</v>
      </c>
      <c r="B513" s="2" t="s">
        <v>373</v>
      </c>
      <c r="C513" s="2"/>
      <c r="D513" s="2"/>
      <c r="E513" s="161" t="s">
        <v>25</v>
      </c>
      <c r="F513" s="2"/>
      <c r="G513" s="2"/>
    </row>
    <row r="514" spans="1:7" ht="12.75">
      <c r="A514" s="19" t="s">
        <v>208</v>
      </c>
      <c r="B514" s="2"/>
      <c r="C514" s="2"/>
      <c r="D514" s="2"/>
      <c r="E514" s="2"/>
      <c r="F514" s="2"/>
      <c r="G514" s="2"/>
    </row>
    <row r="515" spans="1:7" ht="12.75">
      <c r="A515" s="19"/>
      <c r="B515" s="2"/>
      <c r="C515" s="2"/>
      <c r="D515" s="2"/>
      <c r="E515" s="2"/>
      <c r="F515" s="2"/>
      <c r="G515" s="2"/>
    </row>
    <row r="516" spans="1:7" ht="15">
      <c r="A516" s="474" t="s">
        <v>165</v>
      </c>
      <c r="B516" s="474"/>
      <c r="C516" s="474"/>
      <c r="D516" s="474"/>
      <c r="E516" s="474"/>
      <c r="F516" s="474"/>
      <c r="G516" s="474"/>
    </row>
    <row r="517" spans="1:7" ht="15">
      <c r="A517" s="474" t="s">
        <v>172</v>
      </c>
      <c r="B517" s="474"/>
      <c r="C517" s="474"/>
      <c r="D517" s="474"/>
      <c r="E517" s="474"/>
      <c r="F517" s="474"/>
      <c r="G517" s="474"/>
    </row>
    <row r="518" spans="1:7" ht="12.75">
      <c r="A518" s="54"/>
      <c r="B518" s="54"/>
      <c r="C518" s="54"/>
      <c r="D518" s="54"/>
      <c r="E518" s="54"/>
      <c r="F518" s="54"/>
      <c r="G518" s="54"/>
    </row>
    <row r="519" spans="1:7" ht="12.75">
      <c r="A519" s="54"/>
      <c r="B519" s="54"/>
      <c r="C519" s="54"/>
      <c r="D519" s="54"/>
      <c r="E519" s="54"/>
      <c r="F519" s="54"/>
      <c r="G519" s="54"/>
    </row>
    <row r="520" spans="1:7" ht="12.75">
      <c r="A520" s="21" t="s">
        <v>52</v>
      </c>
      <c r="B520" s="21" t="s">
        <v>369</v>
      </c>
      <c r="C520" s="21"/>
      <c r="D520" s="21"/>
      <c r="E520" s="21"/>
      <c r="F520" s="2"/>
      <c r="G520" s="2"/>
    </row>
    <row r="521" spans="1:7" ht="12.75">
      <c r="A521" s="2"/>
      <c r="B521" s="2"/>
      <c r="C521" s="2"/>
      <c r="D521" s="2"/>
      <c r="E521" s="2"/>
      <c r="F521" s="2"/>
      <c r="G521" s="2"/>
    </row>
    <row r="522" spans="1:7" ht="12.75">
      <c r="A522" s="23"/>
      <c r="B522" s="23"/>
      <c r="C522" s="475" t="s">
        <v>79</v>
      </c>
      <c r="D522" s="479" t="s">
        <v>166</v>
      </c>
      <c r="E522" s="480"/>
      <c r="F522" s="481"/>
      <c r="G522" s="482" t="s">
        <v>73</v>
      </c>
    </row>
    <row r="523" spans="1:7" ht="12.75">
      <c r="A523" s="24" t="s">
        <v>167</v>
      </c>
      <c r="B523" s="304" t="s">
        <v>241</v>
      </c>
      <c r="C523" s="476"/>
      <c r="D523" s="24" t="s">
        <v>168</v>
      </c>
      <c r="E523" s="24" t="s">
        <v>169</v>
      </c>
      <c r="F523" s="477" t="s">
        <v>23</v>
      </c>
      <c r="G523" s="483"/>
    </row>
    <row r="524" spans="1:7" ht="12.75">
      <c r="A524" s="24"/>
      <c r="B524" s="24"/>
      <c r="C524" s="24" t="s">
        <v>53</v>
      </c>
      <c r="D524" s="24" t="s">
        <v>53</v>
      </c>
      <c r="E524" s="156" t="s">
        <v>86</v>
      </c>
      <c r="F524" s="478"/>
      <c r="G524" s="3" t="s">
        <v>54</v>
      </c>
    </row>
    <row r="525" spans="1:7" ht="12.75">
      <c r="A525" s="46">
        <v>1</v>
      </c>
      <c r="B525" s="46">
        <v>2</v>
      </c>
      <c r="C525" s="46">
        <v>3</v>
      </c>
      <c r="D525" s="90">
        <v>4</v>
      </c>
      <c r="E525" s="90">
        <v>5</v>
      </c>
      <c r="F525" s="90">
        <v>6</v>
      </c>
      <c r="G525" s="91">
        <v>7</v>
      </c>
    </row>
    <row r="526" spans="1:7" ht="12.75">
      <c r="A526" s="5"/>
      <c r="B526" s="5"/>
      <c r="C526" s="5"/>
      <c r="D526" s="116"/>
      <c r="E526" s="116"/>
      <c r="F526" s="116"/>
      <c r="G526" s="5"/>
    </row>
    <row r="527" spans="1:7" ht="15">
      <c r="A527" s="42" t="s">
        <v>43</v>
      </c>
      <c r="B527" s="72"/>
      <c r="C527" s="5"/>
      <c r="D527" s="116"/>
      <c r="E527" s="116"/>
      <c r="F527" s="116"/>
      <c r="G527" s="92"/>
    </row>
    <row r="528" spans="1:7" ht="12.75">
      <c r="A528" s="41" t="s">
        <v>222</v>
      </c>
      <c r="B528" s="157" t="s">
        <v>113</v>
      </c>
      <c r="C528" s="6">
        <v>0</v>
      </c>
      <c r="D528" s="6">
        <v>0</v>
      </c>
      <c r="E528" s="88">
        <f>F528-D528</f>
        <v>508320</v>
      </c>
      <c r="F528" s="6">
        <v>508320</v>
      </c>
      <c r="G528" s="6">
        <v>625152</v>
      </c>
    </row>
    <row r="529" spans="1:7" ht="12.75">
      <c r="A529" s="41" t="s">
        <v>204</v>
      </c>
      <c r="B529" s="157" t="s">
        <v>114</v>
      </c>
      <c r="C529" s="6">
        <v>0</v>
      </c>
      <c r="D529" s="6">
        <v>0</v>
      </c>
      <c r="E529" s="88">
        <f aca="true" t="shared" si="13" ref="E529:E542">F529-D529</f>
        <v>0</v>
      </c>
      <c r="F529" s="6">
        <v>0</v>
      </c>
      <c r="G529" s="6">
        <v>0</v>
      </c>
    </row>
    <row r="530" spans="1:7" ht="12.75">
      <c r="A530" s="29" t="s">
        <v>100</v>
      </c>
      <c r="B530" s="157" t="s">
        <v>114</v>
      </c>
      <c r="C530" s="6">
        <v>0</v>
      </c>
      <c r="D530" s="6">
        <v>0</v>
      </c>
      <c r="E530" s="88">
        <f t="shared" si="13"/>
        <v>24000</v>
      </c>
      <c r="F530" s="6">
        <v>24000</v>
      </c>
      <c r="G530" s="6">
        <v>24000</v>
      </c>
    </row>
    <row r="531" spans="1:7" ht="12.75">
      <c r="A531" s="41" t="s">
        <v>42</v>
      </c>
      <c r="B531" s="157" t="s">
        <v>115</v>
      </c>
      <c r="C531" s="6">
        <v>0</v>
      </c>
      <c r="D531" s="6">
        <v>0</v>
      </c>
      <c r="E531" s="88">
        <f t="shared" si="13"/>
        <v>0</v>
      </c>
      <c r="F531" s="6">
        <v>0</v>
      </c>
      <c r="G531" s="6">
        <v>0</v>
      </c>
    </row>
    <row r="532" spans="1:7" ht="12.75">
      <c r="A532" s="41" t="s">
        <v>18</v>
      </c>
      <c r="B532" s="157" t="s">
        <v>116</v>
      </c>
      <c r="C532" s="6">
        <v>0</v>
      </c>
      <c r="D532" s="6">
        <v>0</v>
      </c>
      <c r="E532" s="88">
        <f t="shared" si="13"/>
        <v>6000</v>
      </c>
      <c r="F532" s="6">
        <v>6000</v>
      </c>
      <c r="G532" s="6">
        <v>6000</v>
      </c>
    </row>
    <row r="533" spans="1:7" ht="12.75">
      <c r="A533" s="41" t="s">
        <v>175</v>
      </c>
      <c r="B533" s="157" t="s">
        <v>176</v>
      </c>
      <c r="C533" s="6">
        <v>0</v>
      </c>
      <c r="D533" s="6">
        <v>0</v>
      </c>
      <c r="E533" s="88">
        <f t="shared" si="13"/>
        <v>5000</v>
      </c>
      <c r="F533" s="64">
        <v>5000</v>
      </c>
      <c r="G533" s="64">
        <v>5000</v>
      </c>
    </row>
    <row r="534" spans="1:7" ht="12.75">
      <c r="A534" s="41" t="s">
        <v>27</v>
      </c>
      <c r="B534" s="157" t="s">
        <v>117</v>
      </c>
      <c r="C534" s="6">
        <v>0</v>
      </c>
      <c r="D534" s="6">
        <v>0</v>
      </c>
      <c r="E534" s="88">
        <f t="shared" si="13"/>
        <v>5000</v>
      </c>
      <c r="F534" s="6">
        <v>5000</v>
      </c>
      <c r="G534" s="6">
        <v>5000</v>
      </c>
    </row>
    <row r="535" spans="1:7" ht="12.75">
      <c r="A535" s="41" t="s">
        <v>96</v>
      </c>
      <c r="B535" s="157" t="s">
        <v>118</v>
      </c>
      <c r="C535" s="6">
        <v>0</v>
      </c>
      <c r="D535" s="6">
        <v>0</v>
      </c>
      <c r="E535" s="88">
        <f t="shared" si="13"/>
        <v>42360</v>
      </c>
      <c r="F535" s="6">
        <f>(F528+F529)/12</f>
        <v>42360</v>
      </c>
      <c r="G535" s="6">
        <f>(G528+G529)/12</f>
        <v>52096</v>
      </c>
    </row>
    <row r="536" spans="1:7" ht="12.75">
      <c r="A536" s="41" t="s">
        <v>173</v>
      </c>
      <c r="B536" s="157" t="s">
        <v>174</v>
      </c>
      <c r="C536" s="6">
        <v>0</v>
      </c>
      <c r="D536" s="6">
        <v>0</v>
      </c>
      <c r="E536" s="88">
        <f t="shared" si="13"/>
        <v>42360</v>
      </c>
      <c r="F536" s="6">
        <f>F535</f>
        <v>42360</v>
      </c>
      <c r="G536" s="6">
        <f>G535</f>
        <v>52096</v>
      </c>
    </row>
    <row r="537" spans="1:7" ht="12.75">
      <c r="A537" s="41" t="s">
        <v>232</v>
      </c>
      <c r="B537" s="157" t="s">
        <v>119</v>
      </c>
      <c r="C537" s="6">
        <v>0</v>
      </c>
      <c r="D537" s="6">
        <v>0</v>
      </c>
      <c r="E537" s="88">
        <f t="shared" si="13"/>
        <v>60998.399999999994</v>
      </c>
      <c r="F537" s="6">
        <f>(F529+F528)*12%</f>
        <v>60998.399999999994</v>
      </c>
      <c r="G537" s="6">
        <v>75018.24</v>
      </c>
    </row>
    <row r="538" spans="1:7" ht="12.75">
      <c r="A538" s="41" t="s">
        <v>28</v>
      </c>
      <c r="B538" s="157" t="s">
        <v>120</v>
      </c>
      <c r="C538" s="6">
        <v>0</v>
      </c>
      <c r="D538" s="6">
        <v>0</v>
      </c>
      <c r="E538" s="88">
        <f t="shared" si="13"/>
        <v>1200</v>
      </c>
      <c r="F538" s="6">
        <v>1200</v>
      </c>
      <c r="G538" s="6">
        <v>1200</v>
      </c>
    </row>
    <row r="539" spans="1:7" ht="12.75">
      <c r="A539" s="41" t="s">
        <v>69</v>
      </c>
      <c r="B539" s="157" t="s">
        <v>121</v>
      </c>
      <c r="C539" s="6">
        <v>0</v>
      </c>
      <c r="D539" s="6">
        <v>0</v>
      </c>
      <c r="E539" s="88">
        <f t="shared" si="13"/>
        <v>10166.4</v>
      </c>
      <c r="F539" s="6">
        <v>10166.4</v>
      </c>
      <c r="G539" s="6">
        <v>14065.92</v>
      </c>
    </row>
    <row r="540" spans="1:7" ht="12.75">
      <c r="A540" s="29" t="s">
        <v>122</v>
      </c>
      <c r="B540" s="157" t="s">
        <v>123</v>
      </c>
      <c r="C540" s="6">
        <v>0</v>
      </c>
      <c r="D540" s="6">
        <v>0</v>
      </c>
      <c r="E540" s="88">
        <f t="shared" si="13"/>
        <v>1200</v>
      </c>
      <c r="F540" s="6">
        <v>1200</v>
      </c>
      <c r="G540" s="6">
        <v>1200</v>
      </c>
    </row>
    <row r="541" spans="1:7" ht="12.75">
      <c r="A541" s="41" t="s">
        <v>68</v>
      </c>
      <c r="B541" s="157" t="s">
        <v>124</v>
      </c>
      <c r="C541" s="6">
        <v>0</v>
      </c>
      <c r="D541" s="6">
        <v>0</v>
      </c>
      <c r="E541" s="88">
        <f t="shared" si="13"/>
        <v>0</v>
      </c>
      <c r="F541" s="6">
        <v>0</v>
      </c>
      <c r="G541" s="6">
        <v>0</v>
      </c>
    </row>
    <row r="542" spans="1:7" ht="12.75">
      <c r="A542" s="41" t="s">
        <v>99</v>
      </c>
      <c r="B542" s="157" t="s">
        <v>125</v>
      </c>
      <c r="C542" s="6">
        <v>0</v>
      </c>
      <c r="D542" s="6">
        <v>0</v>
      </c>
      <c r="E542" s="88">
        <f t="shared" si="13"/>
        <v>20414.43</v>
      </c>
      <c r="F542" s="60">
        <v>20414.43</v>
      </c>
      <c r="G542" s="60">
        <v>25106.47</v>
      </c>
    </row>
    <row r="543" spans="1:9" ht="12.75">
      <c r="A543" s="18" t="s">
        <v>193</v>
      </c>
      <c r="B543" s="33"/>
      <c r="C543" s="8">
        <f>SUM(C528:C542)</f>
        <v>0</v>
      </c>
      <c r="D543" s="8">
        <f>SUM(D528:D542)</f>
        <v>0</v>
      </c>
      <c r="E543" s="8">
        <f>SUM(E528:E542)</f>
        <v>727019.2300000001</v>
      </c>
      <c r="F543" s="8">
        <f>SUM(F528:F542)</f>
        <v>727019.2300000001</v>
      </c>
      <c r="G543" s="140">
        <f>SUM(G528:G542)</f>
        <v>885934.63</v>
      </c>
      <c r="I543" s="14"/>
    </row>
    <row r="544" spans="1:7" ht="12.75">
      <c r="A544" s="5"/>
      <c r="B544" s="33"/>
      <c r="C544" s="6"/>
      <c r="D544" s="6"/>
      <c r="E544" s="6"/>
      <c r="F544" s="6"/>
      <c r="G544" s="6"/>
    </row>
    <row r="545" spans="1:7" ht="12.75">
      <c r="A545" s="5"/>
      <c r="B545" s="33"/>
      <c r="C545" s="6"/>
      <c r="D545" s="6"/>
      <c r="E545" s="6"/>
      <c r="F545" s="6"/>
      <c r="G545" s="6"/>
    </row>
    <row r="546" spans="1:7" ht="12.75">
      <c r="A546" s="179"/>
      <c r="B546" s="182"/>
      <c r="C546" s="183"/>
      <c r="D546" s="183"/>
      <c r="E546" s="183"/>
      <c r="F546" s="183"/>
      <c r="G546" s="183"/>
    </row>
    <row r="547" spans="1:7" ht="12.75">
      <c r="A547" s="2"/>
      <c r="B547" s="36"/>
      <c r="C547" s="59"/>
      <c r="D547" s="59"/>
      <c r="E547" s="59"/>
      <c r="F547" s="59"/>
      <c r="G547" s="59"/>
    </row>
    <row r="548" spans="1:7" ht="12.75">
      <c r="A548" s="2"/>
      <c r="B548" s="36"/>
      <c r="C548" s="59"/>
      <c r="D548" s="59"/>
      <c r="E548" s="59"/>
      <c r="F548" s="59"/>
      <c r="G548" s="59"/>
    </row>
    <row r="549" spans="1:7" ht="12.75">
      <c r="A549" s="2"/>
      <c r="B549" s="36"/>
      <c r="C549" s="59"/>
      <c r="D549" s="59"/>
      <c r="E549" s="59"/>
      <c r="F549" s="59"/>
      <c r="G549" s="59"/>
    </row>
    <row r="550" spans="1:7" ht="12.75">
      <c r="A550" s="2"/>
      <c r="B550" s="36"/>
      <c r="C550" s="59"/>
      <c r="D550" s="59"/>
      <c r="E550" s="59"/>
      <c r="F550" s="59"/>
      <c r="G550" s="59"/>
    </row>
    <row r="551" spans="1:7" ht="12.75">
      <c r="A551" s="68"/>
      <c r="B551" s="184"/>
      <c r="C551" s="185"/>
      <c r="D551" s="185"/>
      <c r="E551" s="185"/>
      <c r="F551" s="185"/>
      <c r="G551" s="185"/>
    </row>
    <row r="552" spans="1:7" ht="12.75">
      <c r="A552" s="23"/>
      <c r="B552" s="23"/>
      <c r="C552" s="475" t="s">
        <v>79</v>
      </c>
      <c r="D552" s="479" t="s">
        <v>166</v>
      </c>
      <c r="E552" s="480"/>
      <c r="F552" s="481"/>
      <c r="G552" s="482" t="s">
        <v>73</v>
      </c>
    </row>
    <row r="553" spans="1:7" ht="12.75">
      <c r="A553" s="24" t="s">
        <v>167</v>
      </c>
      <c r="B553" s="304" t="s">
        <v>241</v>
      </c>
      <c r="C553" s="476"/>
      <c r="D553" s="24" t="s">
        <v>168</v>
      </c>
      <c r="E553" s="24" t="s">
        <v>169</v>
      </c>
      <c r="F553" s="477" t="s">
        <v>23</v>
      </c>
      <c r="G553" s="483"/>
    </row>
    <row r="554" spans="1:7" ht="12.75">
      <c r="A554" s="24"/>
      <c r="B554" s="24"/>
      <c r="C554" s="24" t="s">
        <v>53</v>
      </c>
      <c r="D554" s="24" t="s">
        <v>53</v>
      </c>
      <c r="E554" s="156" t="s">
        <v>86</v>
      </c>
      <c r="F554" s="478"/>
      <c r="G554" s="3" t="s">
        <v>54</v>
      </c>
    </row>
    <row r="555" spans="1:7" ht="12.75">
      <c r="A555" s="46">
        <v>1</v>
      </c>
      <c r="B555" s="46">
        <v>2</v>
      </c>
      <c r="C555" s="46">
        <v>3</v>
      </c>
      <c r="D555" s="90">
        <v>4</v>
      </c>
      <c r="E555" s="90">
        <v>5</v>
      </c>
      <c r="F555" s="90">
        <v>6</v>
      </c>
      <c r="G555" s="91">
        <v>7</v>
      </c>
    </row>
    <row r="556" spans="1:7" ht="12.75">
      <c r="A556" s="5"/>
      <c r="B556" s="33"/>
      <c r="C556" s="6"/>
      <c r="D556" s="6"/>
      <c r="E556" s="6"/>
      <c r="F556" s="6"/>
      <c r="G556" s="6"/>
    </row>
    <row r="557" spans="1:7" ht="12.75">
      <c r="A557" s="32" t="s">
        <v>189</v>
      </c>
      <c r="B557" s="72"/>
      <c r="C557" s="139"/>
      <c r="D557" s="6"/>
      <c r="E557" s="6"/>
      <c r="F557" s="6"/>
      <c r="G557" s="6"/>
    </row>
    <row r="558" spans="1:7" ht="12.75">
      <c r="A558" s="29" t="s">
        <v>191</v>
      </c>
      <c r="B558" s="62" t="s">
        <v>126</v>
      </c>
      <c r="C558" s="6">
        <v>0</v>
      </c>
      <c r="D558" s="6">
        <v>0</v>
      </c>
      <c r="E558" s="88">
        <f aca="true" t="shared" si="14" ref="E558:E574">F558-D558</f>
        <v>50000</v>
      </c>
      <c r="F558" s="6">
        <v>50000</v>
      </c>
      <c r="G558" s="6">
        <v>50000</v>
      </c>
    </row>
    <row r="559" spans="1:7" ht="12.75">
      <c r="A559" s="41" t="s">
        <v>19</v>
      </c>
      <c r="B559" s="62" t="s">
        <v>127</v>
      </c>
      <c r="C559" s="6">
        <v>0</v>
      </c>
      <c r="D559" s="6">
        <v>0</v>
      </c>
      <c r="E559" s="88">
        <f t="shared" si="14"/>
        <v>20000</v>
      </c>
      <c r="F559" s="6">
        <v>20000</v>
      </c>
      <c r="G559" s="6">
        <v>20000</v>
      </c>
    </row>
    <row r="560" spans="1:7" ht="12.75">
      <c r="A560" s="41" t="s">
        <v>2</v>
      </c>
      <c r="B560" s="62" t="s">
        <v>128</v>
      </c>
      <c r="C560" s="6">
        <v>0</v>
      </c>
      <c r="D560" s="6">
        <v>0</v>
      </c>
      <c r="E560" s="88">
        <f t="shared" si="14"/>
        <v>46000</v>
      </c>
      <c r="F560" s="6">
        <v>46000</v>
      </c>
      <c r="G560" s="6">
        <v>46000</v>
      </c>
    </row>
    <row r="561" spans="1:7" ht="12.75">
      <c r="A561" s="41" t="s">
        <v>353</v>
      </c>
      <c r="B561" s="62" t="s">
        <v>219</v>
      </c>
      <c r="C561" s="6">
        <v>0</v>
      </c>
      <c r="D561" s="6">
        <v>0</v>
      </c>
      <c r="E561" s="88">
        <f t="shared" si="14"/>
        <v>0</v>
      </c>
      <c r="F561" s="6">
        <v>0</v>
      </c>
      <c r="G561" s="6">
        <v>0</v>
      </c>
    </row>
    <row r="562" spans="1:7" ht="12.75">
      <c r="A562" s="105" t="s">
        <v>201</v>
      </c>
      <c r="B562" s="62" t="s">
        <v>130</v>
      </c>
      <c r="C562" s="6">
        <v>0</v>
      </c>
      <c r="D562" s="6">
        <v>0</v>
      </c>
      <c r="E562" s="88">
        <f t="shared" si="14"/>
        <v>0</v>
      </c>
      <c r="F562" s="6">
        <v>0</v>
      </c>
      <c r="G562" s="6">
        <v>0</v>
      </c>
    </row>
    <row r="563" spans="1:7" ht="12.75">
      <c r="A563" s="29" t="s">
        <v>63</v>
      </c>
      <c r="B563" s="62" t="s">
        <v>131</v>
      </c>
      <c r="C563" s="6">
        <v>0</v>
      </c>
      <c r="D563" s="6">
        <v>0</v>
      </c>
      <c r="E563" s="88">
        <f t="shared" si="14"/>
        <v>0</v>
      </c>
      <c r="F563" s="6">
        <v>0</v>
      </c>
      <c r="G563" s="6">
        <v>0</v>
      </c>
    </row>
    <row r="564" spans="1:7" ht="12.75">
      <c r="A564" s="29" t="s">
        <v>133</v>
      </c>
      <c r="B564" s="62" t="s">
        <v>134</v>
      </c>
      <c r="C564" s="6">
        <v>0</v>
      </c>
      <c r="D564" s="6">
        <v>0</v>
      </c>
      <c r="E564" s="88">
        <f t="shared" si="14"/>
        <v>0</v>
      </c>
      <c r="F564" s="6">
        <v>0</v>
      </c>
      <c r="G564" s="6">
        <v>0</v>
      </c>
    </row>
    <row r="565" spans="1:7" ht="12.75">
      <c r="A565" s="29" t="s">
        <v>227</v>
      </c>
      <c r="B565" s="62" t="s">
        <v>135</v>
      </c>
      <c r="C565" s="6">
        <v>0</v>
      </c>
      <c r="D565" s="6">
        <v>0</v>
      </c>
      <c r="E565" s="88">
        <f t="shared" si="14"/>
        <v>84000</v>
      </c>
      <c r="F565" s="6">
        <v>84000</v>
      </c>
      <c r="G565" s="6">
        <v>60000</v>
      </c>
    </row>
    <row r="566" spans="1:7" ht="12.75">
      <c r="A566" s="41" t="s">
        <v>45</v>
      </c>
      <c r="B566" s="63" t="s">
        <v>136</v>
      </c>
      <c r="C566" s="6">
        <v>0</v>
      </c>
      <c r="D566" s="6">
        <v>0</v>
      </c>
      <c r="E566" s="88">
        <f t="shared" si="14"/>
        <v>0</v>
      </c>
      <c r="F566" s="6">
        <v>0</v>
      </c>
      <c r="G566" s="6">
        <v>0</v>
      </c>
    </row>
    <row r="567" spans="1:7" ht="12.75">
      <c r="A567" s="29" t="s">
        <v>251</v>
      </c>
      <c r="B567" s="62" t="s">
        <v>252</v>
      </c>
      <c r="C567" s="6">
        <v>0</v>
      </c>
      <c r="D567" s="6">
        <v>0</v>
      </c>
      <c r="E567" s="88">
        <f t="shared" si="14"/>
        <v>0</v>
      </c>
      <c r="F567" s="283">
        <v>0</v>
      </c>
      <c r="G567" s="283">
        <v>0</v>
      </c>
    </row>
    <row r="568" spans="1:7" ht="12.75">
      <c r="A568" s="29" t="s">
        <v>253</v>
      </c>
      <c r="B568" s="62" t="s">
        <v>254</v>
      </c>
      <c r="C568" s="6">
        <v>0</v>
      </c>
      <c r="D568" s="6">
        <v>0</v>
      </c>
      <c r="E568" s="88">
        <f t="shared" si="14"/>
        <v>0</v>
      </c>
      <c r="F568" s="283">
        <v>0</v>
      </c>
      <c r="G568" s="283">
        <v>0</v>
      </c>
    </row>
    <row r="569" spans="1:7" ht="12.75">
      <c r="A569" s="29" t="s">
        <v>146</v>
      </c>
      <c r="B569" s="62" t="s">
        <v>147</v>
      </c>
      <c r="C569" s="6">
        <v>0</v>
      </c>
      <c r="D569" s="6">
        <v>0</v>
      </c>
      <c r="E569" s="88">
        <f t="shared" si="14"/>
        <v>0</v>
      </c>
      <c r="F569" s="6">
        <v>0</v>
      </c>
      <c r="G569" s="6">
        <v>0</v>
      </c>
    </row>
    <row r="570" spans="1:7" ht="12.75">
      <c r="A570" s="131" t="s">
        <v>148</v>
      </c>
      <c r="B570" s="190" t="s">
        <v>149</v>
      </c>
      <c r="C570" s="6">
        <v>0</v>
      </c>
      <c r="D570" s="6">
        <v>0</v>
      </c>
      <c r="E570" s="88">
        <f t="shared" si="14"/>
        <v>0</v>
      </c>
      <c r="F570" s="6">
        <v>0</v>
      </c>
      <c r="G570" s="6">
        <v>0</v>
      </c>
    </row>
    <row r="571" spans="1:7" ht="12.75">
      <c r="A571" s="29" t="s">
        <v>5</v>
      </c>
      <c r="B571" s="62" t="s">
        <v>138</v>
      </c>
      <c r="C571" s="6">
        <v>0</v>
      </c>
      <c r="D571" s="6">
        <v>0</v>
      </c>
      <c r="E571" s="88">
        <f t="shared" si="14"/>
        <v>0</v>
      </c>
      <c r="F571" s="6">
        <v>0</v>
      </c>
      <c r="G571" s="6">
        <v>0</v>
      </c>
    </row>
    <row r="572" spans="1:7" ht="12.75">
      <c r="A572" s="29" t="s">
        <v>66</v>
      </c>
      <c r="B572" s="34" t="s">
        <v>139</v>
      </c>
      <c r="C572" s="6">
        <v>0</v>
      </c>
      <c r="D572" s="6">
        <v>0</v>
      </c>
      <c r="E572" s="88">
        <f t="shared" si="14"/>
        <v>0</v>
      </c>
      <c r="F572" s="6">
        <v>0</v>
      </c>
      <c r="G572" s="6">
        <v>0</v>
      </c>
    </row>
    <row r="573" spans="1:7" ht="12.75">
      <c r="A573" s="29" t="s">
        <v>270</v>
      </c>
      <c r="B573" s="62" t="s">
        <v>271</v>
      </c>
      <c r="C573" s="6">
        <v>0</v>
      </c>
      <c r="D573" s="6">
        <v>0</v>
      </c>
      <c r="E573" s="88">
        <f t="shared" si="14"/>
        <v>0</v>
      </c>
      <c r="F573" s="88">
        <v>0</v>
      </c>
      <c r="G573" s="88">
        <v>0</v>
      </c>
    </row>
    <row r="574" spans="1:7" ht="12.75">
      <c r="A574" s="41" t="s">
        <v>58</v>
      </c>
      <c r="B574" s="63" t="s">
        <v>153</v>
      </c>
      <c r="C574" s="6">
        <v>0</v>
      </c>
      <c r="D574" s="6">
        <v>0</v>
      </c>
      <c r="E574" s="88">
        <f t="shared" si="14"/>
        <v>0</v>
      </c>
      <c r="F574" s="6">
        <v>0</v>
      </c>
      <c r="G574" s="6">
        <v>0</v>
      </c>
    </row>
    <row r="575" spans="1:11" ht="12.75">
      <c r="A575" s="43" t="s">
        <v>192</v>
      </c>
      <c r="B575" s="5"/>
      <c r="C575" s="140">
        <f>SUM(C558:C574)</f>
        <v>0</v>
      </c>
      <c r="D575" s="8">
        <f>SUM(D558:D574)</f>
        <v>0</v>
      </c>
      <c r="E575" s="8">
        <f>SUM(E558:E574)</f>
        <v>200000</v>
      </c>
      <c r="F575" s="8">
        <f>SUM(F558:F574)</f>
        <v>200000</v>
      </c>
      <c r="G575" s="8">
        <f>SUM(G558:G574)</f>
        <v>176000</v>
      </c>
      <c r="J575" s="14"/>
      <c r="K575" s="14"/>
    </row>
    <row r="576" spans="1:7" ht="12.75">
      <c r="A576" s="18"/>
      <c r="B576" s="5"/>
      <c r="C576" s="140"/>
      <c r="D576" s="8"/>
      <c r="E576" s="8"/>
      <c r="F576" s="8"/>
      <c r="G576" s="8"/>
    </row>
    <row r="577" spans="1:7" ht="12.75">
      <c r="A577" s="43" t="s">
        <v>44</v>
      </c>
      <c r="B577" s="5"/>
      <c r="C577" s="77"/>
      <c r="D577" s="64"/>
      <c r="E577" s="64"/>
      <c r="F577" s="64"/>
      <c r="G577" s="64"/>
    </row>
    <row r="578" spans="1:7" ht="12.75">
      <c r="A578" s="29" t="s">
        <v>26</v>
      </c>
      <c r="B578" s="39" t="s">
        <v>155</v>
      </c>
      <c r="C578" s="6">
        <v>0</v>
      </c>
      <c r="D578" s="6">
        <v>0</v>
      </c>
      <c r="E578" s="88">
        <f>F578-D578</f>
        <v>0</v>
      </c>
      <c r="F578" s="6">
        <v>0</v>
      </c>
      <c r="G578" s="6">
        <v>0</v>
      </c>
    </row>
    <row r="579" spans="1:7" ht="12.75">
      <c r="A579" s="29" t="s">
        <v>211</v>
      </c>
      <c r="B579" s="39" t="s">
        <v>156</v>
      </c>
      <c r="C579" s="6">
        <v>0</v>
      </c>
      <c r="D579" s="6">
        <v>0</v>
      </c>
      <c r="E579" s="88">
        <f>F579-D579</f>
        <v>0</v>
      </c>
      <c r="F579" s="6">
        <v>0</v>
      </c>
      <c r="G579" s="6">
        <v>0</v>
      </c>
    </row>
    <row r="580" spans="1:7" ht="12.75">
      <c r="A580" s="29" t="s">
        <v>92</v>
      </c>
      <c r="B580" s="39" t="s">
        <v>157</v>
      </c>
      <c r="C580" s="6">
        <v>0</v>
      </c>
      <c r="D580" s="6">
        <v>0</v>
      </c>
      <c r="E580" s="88">
        <f>F580-D580</f>
        <v>50000</v>
      </c>
      <c r="F580" s="6">
        <v>50000</v>
      </c>
      <c r="G580" s="6">
        <v>0</v>
      </c>
    </row>
    <row r="581" spans="1:12" ht="12.75">
      <c r="A581" s="43" t="s">
        <v>77</v>
      </c>
      <c r="B581" s="5"/>
      <c r="C581" s="140">
        <f>SUM(C578:C580)</f>
        <v>0</v>
      </c>
      <c r="D581" s="8">
        <f>SUM(D578:D580)</f>
        <v>0</v>
      </c>
      <c r="E581" s="8">
        <f>SUM(E578:E580)</f>
        <v>50000</v>
      </c>
      <c r="F581" s="8">
        <f>SUM(F578:F580)</f>
        <v>50000</v>
      </c>
      <c r="G581" s="8">
        <f>SUM(G578:G580)</f>
        <v>0</v>
      </c>
      <c r="L581" s="14"/>
    </row>
    <row r="582" spans="1:7" ht="5.25" customHeight="1">
      <c r="A582" s="5"/>
      <c r="B582" s="5"/>
      <c r="C582" s="6"/>
      <c r="D582" s="6"/>
      <c r="E582" s="6"/>
      <c r="F582" s="6"/>
      <c r="G582" s="6"/>
    </row>
    <row r="583" spans="1:8" ht="12.75">
      <c r="A583" s="7" t="s">
        <v>34</v>
      </c>
      <c r="B583" s="7"/>
      <c r="C583" s="8">
        <f>C543+C575+C581</f>
        <v>0</v>
      </c>
      <c r="D583" s="8">
        <f>D543+D575+D581</f>
        <v>0</v>
      </c>
      <c r="E583" s="8">
        <f>E543+E575+E581</f>
        <v>977019.2300000001</v>
      </c>
      <c r="F583" s="8">
        <f>F543+F575+F581</f>
        <v>977019.2300000001</v>
      </c>
      <c r="G583" s="8">
        <f>G543+G575+G581</f>
        <v>1061934.63</v>
      </c>
      <c r="H583" s="14"/>
    </row>
    <row r="584" spans="1:7" ht="12.75">
      <c r="A584" s="4"/>
      <c r="B584" s="4"/>
      <c r="C584" s="10"/>
      <c r="D584" s="155"/>
      <c r="E584" s="155"/>
      <c r="F584" s="117"/>
      <c r="G584" s="4"/>
    </row>
    <row r="585" spans="1:7" ht="12.75">
      <c r="A585" s="2"/>
      <c r="B585" s="2"/>
      <c r="C585" s="2"/>
      <c r="D585" s="2"/>
      <c r="E585" s="2"/>
      <c r="F585" s="2"/>
      <c r="G585" s="59"/>
    </row>
    <row r="586" spans="1:7" ht="12.75">
      <c r="A586" s="2" t="s">
        <v>185</v>
      </c>
      <c r="B586" s="2" t="s">
        <v>186</v>
      </c>
      <c r="C586" s="2"/>
      <c r="D586" s="2"/>
      <c r="E586" s="161" t="s">
        <v>170</v>
      </c>
      <c r="F586" s="2"/>
      <c r="G586" s="59"/>
    </row>
    <row r="587" spans="1:7" ht="12.75">
      <c r="A587" s="2"/>
      <c r="B587" s="2"/>
      <c r="C587" s="2"/>
      <c r="D587" s="2"/>
      <c r="E587" s="161"/>
      <c r="F587" s="2"/>
      <c r="G587" s="2"/>
    </row>
    <row r="588" spans="1:7" ht="12.75">
      <c r="A588" s="2"/>
      <c r="B588" s="22"/>
      <c r="C588" s="22"/>
      <c r="D588" s="22"/>
      <c r="E588" s="162"/>
      <c r="F588" s="22"/>
      <c r="G588" s="2"/>
    </row>
    <row r="589" spans="1:7" ht="12.75">
      <c r="A589" s="98" t="s">
        <v>161</v>
      </c>
      <c r="B589" s="22" t="s">
        <v>277</v>
      </c>
      <c r="C589" s="22"/>
      <c r="D589" s="22"/>
      <c r="E589" s="162" t="s">
        <v>161</v>
      </c>
      <c r="F589" s="22"/>
      <c r="G589" s="2"/>
    </row>
    <row r="590" spans="1:7" ht="12.75">
      <c r="A590" s="74" t="s">
        <v>25</v>
      </c>
      <c r="B590" s="2" t="s">
        <v>373</v>
      </c>
      <c r="C590" s="2"/>
      <c r="D590" s="2"/>
      <c r="E590" s="161" t="s">
        <v>25</v>
      </c>
      <c r="F590" s="2"/>
      <c r="G590" s="2"/>
    </row>
    <row r="591" spans="1:8" ht="15">
      <c r="A591" s="19" t="s">
        <v>208</v>
      </c>
      <c r="B591" s="2"/>
      <c r="C591" s="2"/>
      <c r="D591" s="2"/>
      <c r="E591" s="2"/>
      <c r="F591" s="2"/>
      <c r="G591" s="2"/>
      <c r="H591" s="53"/>
    </row>
    <row r="592" spans="1:8" ht="12.75">
      <c r="A592" s="19"/>
      <c r="B592" s="2"/>
      <c r="C592" s="2"/>
      <c r="D592" s="2"/>
      <c r="E592" s="2"/>
      <c r="F592" s="2"/>
      <c r="G592" s="2"/>
      <c r="H592" s="54"/>
    </row>
    <row r="593" spans="1:8" ht="15">
      <c r="A593" s="474" t="s">
        <v>165</v>
      </c>
      <c r="B593" s="474"/>
      <c r="C593" s="474"/>
      <c r="D593" s="474"/>
      <c r="E593" s="474"/>
      <c r="F593" s="474"/>
      <c r="G593" s="474"/>
      <c r="H593" s="2"/>
    </row>
    <row r="594" spans="1:8" ht="15">
      <c r="A594" s="474" t="s">
        <v>172</v>
      </c>
      <c r="B594" s="474"/>
      <c r="C594" s="474"/>
      <c r="D594" s="474"/>
      <c r="E594" s="474"/>
      <c r="F594" s="474"/>
      <c r="G594" s="474"/>
      <c r="H594" s="2"/>
    </row>
    <row r="595" spans="1:8" ht="12.75">
      <c r="A595" s="54"/>
      <c r="B595" s="54"/>
      <c r="C595" s="54"/>
      <c r="D595" s="54"/>
      <c r="E595" s="54"/>
      <c r="F595" s="54"/>
      <c r="G595" s="54"/>
      <c r="H595" s="2"/>
    </row>
    <row r="596" spans="1:8" ht="12.75">
      <c r="A596" s="54"/>
      <c r="B596" s="54"/>
      <c r="C596" s="54"/>
      <c r="D596" s="54"/>
      <c r="E596" s="54"/>
      <c r="F596" s="54"/>
      <c r="G596" s="54"/>
      <c r="H596" s="2"/>
    </row>
    <row r="597" spans="1:8" ht="12.75">
      <c r="A597" s="21" t="s">
        <v>52</v>
      </c>
      <c r="B597" s="21" t="s">
        <v>261</v>
      </c>
      <c r="C597" s="21"/>
      <c r="D597" s="21"/>
      <c r="E597" s="21"/>
      <c r="F597" s="2"/>
      <c r="G597" s="2"/>
      <c r="H597" s="2"/>
    </row>
    <row r="598" spans="1:8" ht="12.75">
      <c r="A598" s="2"/>
      <c r="B598" s="2"/>
      <c r="C598" s="2"/>
      <c r="D598" s="2"/>
      <c r="E598" s="2"/>
      <c r="F598" s="2"/>
      <c r="G598" s="2"/>
      <c r="H598" s="154"/>
    </row>
    <row r="599" spans="1:8" ht="12.75">
      <c r="A599" s="23"/>
      <c r="B599" s="23"/>
      <c r="C599" s="475" t="s">
        <v>79</v>
      </c>
      <c r="D599" s="479" t="s">
        <v>166</v>
      </c>
      <c r="E599" s="480"/>
      <c r="F599" s="481"/>
      <c r="G599" s="482" t="s">
        <v>73</v>
      </c>
      <c r="H599" s="154"/>
    </row>
    <row r="600" spans="1:14" ht="12.75">
      <c r="A600" s="24" t="s">
        <v>167</v>
      </c>
      <c r="B600" s="304" t="s">
        <v>241</v>
      </c>
      <c r="C600" s="476"/>
      <c r="D600" s="24" t="s">
        <v>168</v>
      </c>
      <c r="E600" s="24" t="s">
        <v>169</v>
      </c>
      <c r="F600" s="477" t="s">
        <v>23</v>
      </c>
      <c r="G600" s="483"/>
      <c r="H600" s="163"/>
      <c r="N600" s="14"/>
    </row>
    <row r="601" spans="1:13" ht="12.75">
      <c r="A601" s="24"/>
      <c r="B601" s="24"/>
      <c r="C601" s="24" t="s">
        <v>53</v>
      </c>
      <c r="D601" s="24" t="s">
        <v>53</v>
      </c>
      <c r="E601" s="156" t="s">
        <v>86</v>
      </c>
      <c r="F601" s="478"/>
      <c r="G601" s="3" t="s">
        <v>54</v>
      </c>
      <c r="H601" s="2"/>
      <c r="M601" s="14"/>
    </row>
    <row r="602" spans="1:8" ht="12.75">
      <c r="A602" s="46">
        <v>1</v>
      </c>
      <c r="B602" s="46">
        <v>2</v>
      </c>
      <c r="C602" s="46">
        <v>3</v>
      </c>
      <c r="D602" s="90">
        <v>4</v>
      </c>
      <c r="E602" s="90">
        <v>5</v>
      </c>
      <c r="F602" s="90">
        <v>6</v>
      </c>
      <c r="G602" s="91">
        <v>7</v>
      </c>
      <c r="H602" s="2"/>
    </row>
    <row r="603" spans="1:8" ht="12.75">
      <c r="A603" s="5"/>
      <c r="B603" s="5"/>
      <c r="C603" s="5"/>
      <c r="D603" s="116"/>
      <c r="E603" s="116"/>
      <c r="F603" s="116"/>
      <c r="G603" s="5"/>
      <c r="H603" s="2"/>
    </row>
    <row r="604" spans="1:8" ht="15">
      <c r="A604" s="42" t="s">
        <v>43</v>
      </c>
      <c r="B604" s="72"/>
      <c r="C604" s="5"/>
      <c r="D604" s="116"/>
      <c r="E604" s="116"/>
      <c r="F604" s="116"/>
      <c r="G604" s="92"/>
      <c r="H604" s="138"/>
    </row>
    <row r="605" spans="1:13" ht="12.75">
      <c r="A605" s="41" t="s">
        <v>222</v>
      </c>
      <c r="B605" s="157" t="s">
        <v>113</v>
      </c>
      <c r="C605" s="6">
        <v>534468</v>
      </c>
      <c r="D605" s="6">
        <v>381586</v>
      </c>
      <c r="E605" s="88">
        <f aca="true" t="shared" si="15" ref="E605:E619">F605-D605</f>
        <v>441338</v>
      </c>
      <c r="F605" s="6">
        <v>822924</v>
      </c>
      <c r="G605" s="6">
        <f>377364+476592</f>
        <v>853956</v>
      </c>
      <c r="H605" s="164"/>
      <c r="J605" s="20"/>
      <c r="K605" s="20"/>
      <c r="L605" s="14"/>
      <c r="M605" s="14"/>
    </row>
    <row r="606" spans="1:13" ht="12.75">
      <c r="A606" s="41" t="s">
        <v>204</v>
      </c>
      <c r="B606" s="157" t="s">
        <v>114</v>
      </c>
      <c r="C606" s="6">
        <v>222738</v>
      </c>
      <c r="D606" s="6">
        <v>69153.5</v>
      </c>
      <c r="E606" s="88">
        <f t="shared" si="15"/>
        <v>186182.5</v>
      </c>
      <c r="F606" s="6">
        <f>127668*2</f>
        <v>255336</v>
      </c>
      <c r="G606" s="6">
        <f>132600*2</f>
        <v>265200</v>
      </c>
      <c r="H606" s="164"/>
      <c r="J606" s="20"/>
      <c r="K606" s="20"/>
      <c r="L606" s="14"/>
      <c r="M606" s="14"/>
    </row>
    <row r="607" spans="1:11" ht="12.75">
      <c r="A607" s="29" t="s">
        <v>100</v>
      </c>
      <c r="B607" s="157" t="s">
        <v>114</v>
      </c>
      <c r="C607" s="6">
        <v>68000</v>
      </c>
      <c r="D607" s="6">
        <v>36000</v>
      </c>
      <c r="E607" s="88">
        <f t="shared" si="15"/>
        <v>60000</v>
      </c>
      <c r="F607" s="6">
        <v>96000</v>
      </c>
      <c r="G607" s="6">
        <v>96000</v>
      </c>
      <c r="H607" s="164"/>
      <c r="J607" s="14"/>
      <c r="K607" s="14"/>
    </row>
    <row r="608" spans="1:12" ht="12.75">
      <c r="A608" s="41" t="s">
        <v>42</v>
      </c>
      <c r="B608" s="157" t="s">
        <v>115</v>
      </c>
      <c r="C608" s="6">
        <v>0</v>
      </c>
      <c r="D608" s="6">
        <v>0</v>
      </c>
      <c r="E608" s="88">
        <f t="shared" si="15"/>
        <v>0</v>
      </c>
      <c r="F608" s="6">
        <v>0</v>
      </c>
      <c r="G608" s="6">
        <v>0</v>
      </c>
      <c r="H608" s="164"/>
      <c r="J608" s="14"/>
      <c r="K608" s="14"/>
      <c r="L608" s="14"/>
    </row>
    <row r="609" spans="1:8" ht="12.75">
      <c r="A609" s="41" t="s">
        <v>18</v>
      </c>
      <c r="B609" s="157" t="s">
        <v>116</v>
      </c>
      <c r="C609" s="6">
        <v>6000</v>
      </c>
      <c r="D609" s="6">
        <v>12000</v>
      </c>
      <c r="E609" s="88">
        <f t="shared" si="15"/>
        <v>12000</v>
      </c>
      <c r="F609" s="6">
        <v>24000</v>
      </c>
      <c r="G609" s="6">
        <v>24000</v>
      </c>
      <c r="H609" s="164"/>
    </row>
    <row r="610" spans="1:14" ht="12.75">
      <c r="A610" s="41" t="s">
        <v>175</v>
      </c>
      <c r="B610" s="157" t="s">
        <v>176</v>
      </c>
      <c r="C610" s="64">
        <v>15000</v>
      </c>
      <c r="D610" s="6">
        <v>0</v>
      </c>
      <c r="E610" s="88">
        <f t="shared" si="15"/>
        <v>20000</v>
      </c>
      <c r="F610" s="64">
        <v>20000</v>
      </c>
      <c r="G610" s="64">
        <v>20000</v>
      </c>
      <c r="H610" s="133"/>
      <c r="M610" s="14"/>
      <c r="N610" s="14"/>
    </row>
    <row r="611" spans="1:13" ht="12.75">
      <c r="A611" s="41" t="s">
        <v>27</v>
      </c>
      <c r="B611" s="157" t="s">
        <v>117</v>
      </c>
      <c r="C611" s="6">
        <v>15000</v>
      </c>
      <c r="D611" s="6">
        <v>0</v>
      </c>
      <c r="E611" s="88">
        <f t="shared" si="15"/>
        <v>20000</v>
      </c>
      <c r="F611" s="6">
        <v>20000</v>
      </c>
      <c r="G611" s="6">
        <v>20000</v>
      </c>
      <c r="H611" s="16"/>
      <c r="J611" s="14"/>
      <c r="K611" s="14"/>
      <c r="M611" s="14"/>
    </row>
    <row r="612" spans="1:8" ht="12.75">
      <c r="A612" s="41" t="s">
        <v>96</v>
      </c>
      <c r="B612" s="157" t="s">
        <v>118</v>
      </c>
      <c r="C612" s="6">
        <v>48997</v>
      </c>
      <c r="D612" s="6">
        <v>0</v>
      </c>
      <c r="E612" s="88">
        <f t="shared" si="15"/>
        <v>89855</v>
      </c>
      <c r="F612" s="6">
        <f>(F605+F606)/12</f>
        <v>89855</v>
      </c>
      <c r="G612" s="6">
        <f>(G605+G606)/12</f>
        <v>93263</v>
      </c>
      <c r="H612" s="59"/>
    </row>
    <row r="613" spans="1:8" ht="12.75">
      <c r="A613" s="41" t="s">
        <v>173</v>
      </c>
      <c r="B613" s="157" t="s">
        <v>174</v>
      </c>
      <c r="C613" s="6">
        <v>60539</v>
      </c>
      <c r="D613" s="6">
        <v>40471</v>
      </c>
      <c r="E613" s="88">
        <f t="shared" si="15"/>
        <v>49384</v>
      </c>
      <c r="F613" s="6">
        <f>F612</f>
        <v>89855</v>
      </c>
      <c r="G613" s="6">
        <f>G612</f>
        <v>93263</v>
      </c>
      <c r="H613" s="59"/>
    </row>
    <row r="614" spans="1:7" ht="12.75">
      <c r="A614" s="41" t="s">
        <v>232</v>
      </c>
      <c r="B614" s="157" t="s">
        <v>119</v>
      </c>
      <c r="C614" s="6">
        <v>100100.72</v>
      </c>
      <c r="D614" s="6">
        <v>53450.4</v>
      </c>
      <c r="E614" s="88">
        <f t="shared" si="15"/>
        <v>75940.79999999999</v>
      </c>
      <c r="F614" s="6">
        <f>(F606+F605)*12%</f>
        <v>129391.2</v>
      </c>
      <c r="G614" s="6">
        <v>134298.72</v>
      </c>
    </row>
    <row r="615" spans="1:8" ht="12.75">
      <c r="A615" s="41" t="s">
        <v>28</v>
      </c>
      <c r="B615" s="157" t="s">
        <v>120</v>
      </c>
      <c r="C615" s="6">
        <v>3400</v>
      </c>
      <c r="D615" s="6">
        <v>1700</v>
      </c>
      <c r="E615" s="88">
        <f t="shared" si="15"/>
        <v>3100</v>
      </c>
      <c r="F615" s="6">
        <v>4800</v>
      </c>
      <c r="G615" s="6">
        <v>4800</v>
      </c>
      <c r="H615" s="14"/>
    </row>
    <row r="616" spans="1:7" ht="12.75">
      <c r="A616" s="41" t="s">
        <v>69</v>
      </c>
      <c r="B616" s="157" t="s">
        <v>121</v>
      </c>
      <c r="C616" s="6">
        <v>8512.66</v>
      </c>
      <c r="D616" s="6">
        <v>7075.8</v>
      </c>
      <c r="E616" s="88">
        <f t="shared" si="15"/>
        <v>14489.400000000001</v>
      </c>
      <c r="F616" s="6">
        <v>21565.2</v>
      </c>
      <c r="G616" s="6">
        <v>25181.01</v>
      </c>
    </row>
    <row r="617" spans="1:7" ht="12.75">
      <c r="A617" s="29" t="s">
        <v>122</v>
      </c>
      <c r="B617" s="157" t="s">
        <v>123</v>
      </c>
      <c r="C617" s="6">
        <v>3400</v>
      </c>
      <c r="D617" s="6">
        <v>1700</v>
      </c>
      <c r="E617" s="88">
        <f t="shared" si="15"/>
        <v>3100</v>
      </c>
      <c r="F617" s="6">
        <v>4800</v>
      </c>
      <c r="G617" s="6">
        <v>4800</v>
      </c>
    </row>
    <row r="618" spans="1:7" ht="12.75">
      <c r="A618" s="41" t="s">
        <v>68</v>
      </c>
      <c r="B618" s="157" t="s">
        <v>124</v>
      </c>
      <c r="C618" s="6">
        <v>0</v>
      </c>
      <c r="D618" s="6">
        <v>0</v>
      </c>
      <c r="E618" s="88">
        <f t="shared" si="15"/>
        <v>0</v>
      </c>
      <c r="F618" s="6">
        <v>0</v>
      </c>
      <c r="G618" s="6">
        <v>0</v>
      </c>
    </row>
    <row r="619" spans="1:7" ht="12.75">
      <c r="A619" s="41" t="s">
        <v>99</v>
      </c>
      <c r="B619" s="157" t="s">
        <v>125</v>
      </c>
      <c r="C619" s="60">
        <v>0</v>
      </c>
      <c r="D619" s="6">
        <v>0</v>
      </c>
      <c r="E619" s="88">
        <f t="shared" si="15"/>
        <v>43303.55</v>
      </c>
      <c r="F619" s="60">
        <v>43303.55</v>
      </c>
      <c r="G619" s="60">
        <v>44945.96</v>
      </c>
    </row>
    <row r="620" spans="1:9" ht="12.75">
      <c r="A620" s="18" t="s">
        <v>193</v>
      </c>
      <c r="B620" s="33"/>
      <c r="C620" s="8">
        <f>SUM(C605:C619)</f>
        <v>1086155.38</v>
      </c>
      <c r="D620" s="8">
        <f>SUM(D605:D619)</f>
        <v>603136.7000000001</v>
      </c>
      <c r="E620" s="8">
        <f>SUM(E605:E619)</f>
        <v>1018693.2500000001</v>
      </c>
      <c r="F620" s="8">
        <f>SUM(F605:F619)</f>
        <v>1621829.95</v>
      </c>
      <c r="G620" s="140">
        <f>SUM(G605:G619)</f>
        <v>1679707.69</v>
      </c>
      <c r="I620" s="14"/>
    </row>
    <row r="621" spans="1:7" ht="12.75">
      <c r="A621" s="5"/>
      <c r="B621" s="33"/>
      <c r="C621" s="6"/>
      <c r="D621" s="6"/>
      <c r="E621" s="6"/>
      <c r="F621" s="6"/>
      <c r="G621" s="6"/>
    </row>
    <row r="622" spans="1:7" ht="12.75">
      <c r="A622" s="5"/>
      <c r="B622" s="33"/>
      <c r="C622" s="6"/>
      <c r="D622" s="6"/>
      <c r="E622" s="6"/>
      <c r="F622" s="6"/>
      <c r="G622" s="6"/>
    </row>
    <row r="623" spans="1:7" ht="12.75">
      <c r="A623" s="179"/>
      <c r="B623" s="182"/>
      <c r="C623" s="183"/>
      <c r="D623" s="183"/>
      <c r="E623" s="183"/>
      <c r="F623" s="183"/>
      <c r="G623" s="183"/>
    </row>
    <row r="624" spans="1:7" ht="12.75">
      <c r="A624" s="2"/>
      <c r="B624" s="36"/>
      <c r="C624" s="59"/>
      <c r="D624" s="59"/>
      <c r="E624" s="59"/>
      <c r="F624" s="59"/>
      <c r="G624" s="59"/>
    </row>
    <row r="625" spans="1:7" ht="12.75">
      <c r="A625" s="2"/>
      <c r="B625" s="36"/>
      <c r="C625" s="59"/>
      <c r="D625" s="59"/>
      <c r="E625" s="59"/>
      <c r="F625" s="59"/>
      <c r="G625" s="59"/>
    </row>
    <row r="626" spans="1:7" ht="12.75">
      <c r="A626" s="2"/>
      <c r="B626" s="36"/>
      <c r="C626" s="59"/>
      <c r="D626" s="59"/>
      <c r="E626" s="59"/>
      <c r="F626" s="59"/>
      <c r="G626" s="59"/>
    </row>
    <row r="627" spans="1:7" ht="12.75">
      <c r="A627" s="2"/>
      <c r="B627" s="36"/>
      <c r="C627" s="59"/>
      <c r="D627" s="59"/>
      <c r="E627" s="59"/>
      <c r="F627" s="59"/>
      <c r="G627" s="59"/>
    </row>
    <row r="628" spans="1:8" ht="12.75">
      <c r="A628" s="68"/>
      <c r="B628" s="184"/>
      <c r="C628" s="185"/>
      <c r="D628" s="185"/>
      <c r="E628" s="185"/>
      <c r="F628" s="185"/>
      <c r="G628" s="185"/>
      <c r="H628" s="2"/>
    </row>
    <row r="629" spans="1:8" ht="12.75">
      <c r="A629" s="23"/>
      <c r="B629" s="23"/>
      <c r="C629" s="475" t="s">
        <v>79</v>
      </c>
      <c r="D629" s="479" t="s">
        <v>166</v>
      </c>
      <c r="E629" s="480"/>
      <c r="F629" s="481"/>
      <c r="G629" s="482" t="s">
        <v>73</v>
      </c>
      <c r="H629" s="2"/>
    </row>
    <row r="630" spans="1:8" ht="15">
      <c r="A630" s="24" t="s">
        <v>167</v>
      </c>
      <c r="B630" s="304" t="s">
        <v>241</v>
      </c>
      <c r="C630" s="476"/>
      <c r="D630" s="24" t="s">
        <v>168</v>
      </c>
      <c r="E630" s="24" t="s">
        <v>169</v>
      </c>
      <c r="F630" s="477" t="s">
        <v>23</v>
      </c>
      <c r="G630" s="483"/>
      <c r="H630" s="53"/>
    </row>
    <row r="631" spans="1:8" ht="12.75">
      <c r="A631" s="24"/>
      <c r="B631" s="24"/>
      <c r="C631" s="24" t="s">
        <v>53</v>
      </c>
      <c r="D631" s="24" t="s">
        <v>53</v>
      </c>
      <c r="E631" s="156" t="s">
        <v>86</v>
      </c>
      <c r="F631" s="478"/>
      <c r="G631" s="3" t="s">
        <v>54</v>
      </c>
      <c r="H631" s="54"/>
    </row>
    <row r="632" spans="1:8" ht="12.75">
      <c r="A632" s="46">
        <v>1</v>
      </c>
      <c r="B632" s="46">
        <v>2</v>
      </c>
      <c r="C632" s="46">
        <v>3</v>
      </c>
      <c r="D632" s="90">
        <v>4</v>
      </c>
      <c r="E632" s="90">
        <v>5</v>
      </c>
      <c r="F632" s="90">
        <v>6</v>
      </c>
      <c r="G632" s="91">
        <v>7</v>
      </c>
      <c r="H632" s="2"/>
    </row>
    <row r="633" spans="1:8" ht="12.75">
      <c r="A633" s="5"/>
      <c r="B633" s="33"/>
      <c r="C633" s="6"/>
      <c r="D633" s="6"/>
      <c r="E633" s="6"/>
      <c r="F633" s="6"/>
      <c r="G633" s="6"/>
      <c r="H633" s="2"/>
    </row>
    <row r="634" spans="1:8" ht="12.75">
      <c r="A634" s="32" t="s">
        <v>189</v>
      </c>
      <c r="B634" s="72"/>
      <c r="C634" s="139"/>
      <c r="D634" s="6"/>
      <c r="E634" s="6"/>
      <c r="F634" s="6"/>
      <c r="G634" s="6"/>
      <c r="H634" s="2"/>
    </row>
    <row r="635" spans="1:8" ht="12.75">
      <c r="A635" s="29" t="s">
        <v>191</v>
      </c>
      <c r="B635" s="62" t="s">
        <v>126</v>
      </c>
      <c r="C635" s="6">
        <v>42050</v>
      </c>
      <c r="D635" s="6">
        <v>1500</v>
      </c>
      <c r="E635" s="88">
        <f aca="true" t="shared" si="16" ref="E635:E651">F635-D635</f>
        <v>48500</v>
      </c>
      <c r="F635" s="6">
        <v>50000</v>
      </c>
      <c r="G635" s="6">
        <v>50000</v>
      </c>
      <c r="H635" s="2"/>
    </row>
    <row r="636" spans="1:8" ht="12.75">
      <c r="A636" s="41" t="s">
        <v>19</v>
      </c>
      <c r="B636" s="62" t="s">
        <v>127</v>
      </c>
      <c r="C636" s="6">
        <v>0</v>
      </c>
      <c r="D636" s="6">
        <v>0</v>
      </c>
      <c r="E636" s="88">
        <f t="shared" si="16"/>
        <v>20000</v>
      </c>
      <c r="F636" s="6">
        <v>20000</v>
      </c>
      <c r="G636" s="6">
        <v>20000</v>
      </c>
      <c r="H636" s="2"/>
    </row>
    <row r="637" spans="1:8" ht="12.75">
      <c r="A637" s="41" t="s">
        <v>2</v>
      </c>
      <c r="B637" s="62" t="s">
        <v>128</v>
      </c>
      <c r="C637" s="6">
        <v>26372.5</v>
      </c>
      <c r="D637" s="6">
        <v>2409.5</v>
      </c>
      <c r="E637" s="88">
        <f t="shared" si="16"/>
        <v>47590.5</v>
      </c>
      <c r="F637" s="6">
        <v>50000</v>
      </c>
      <c r="G637" s="6">
        <v>50000</v>
      </c>
      <c r="H637" s="154"/>
    </row>
    <row r="638" spans="1:8" ht="12.75">
      <c r="A638" s="41" t="s">
        <v>353</v>
      </c>
      <c r="B638" s="62" t="s">
        <v>219</v>
      </c>
      <c r="C638" s="6">
        <v>0</v>
      </c>
      <c r="D638" s="6">
        <v>0</v>
      </c>
      <c r="E638" s="88">
        <f>F638-D638</f>
        <v>0</v>
      </c>
      <c r="F638" s="6">
        <v>0</v>
      </c>
      <c r="G638" s="6">
        <v>0</v>
      </c>
      <c r="H638" s="154"/>
    </row>
    <row r="639" spans="1:8" ht="12.75">
      <c r="A639" s="105" t="s">
        <v>201</v>
      </c>
      <c r="B639" s="62" t="s">
        <v>130</v>
      </c>
      <c r="C639" s="6">
        <v>0</v>
      </c>
      <c r="D639" s="6">
        <v>0</v>
      </c>
      <c r="E639" s="88">
        <f t="shared" si="16"/>
        <v>0</v>
      </c>
      <c r="F639" s="6">
        <v>0</v>
      </c>
      <c r="G639" s="6">
        <v>0</v>
      </c>
      <c r="H639" s="154"/>
    </row>
    <row r="640" spans="1:8" ht="12.75">
      <c r="A640" s="29" t="s">
        <v>63</v>
      </c>
      <c r="B640" s="62" t="s">
        <v>131</v>
      </c>
      <c r="C640" s="6">
        <v>0</v>
      </c>
      <c r="D640" s="6">
        <v>0</v>
      </c>
      <c r="E640" s="88">
        <f t="shared" si="16"/>
        <v>0</v>
      </c>
      <c r="F640" s="6">
        <v>0</v>
      </c>
      <c r="G640" s="6">
        <v>0</v>
      </c>
      <c r="H640" s="163"/>
    </row>
    <row r="641" spans="1:8" ht="12.75">
      <c r="A641" s="29" t="s">
        <v>133</v>
      </c>
      <c r="B641" s="62" t="s">
        <v>134</v>
      </c>
      <c r="C641" s="6">
        <v>0</v>
      </c>
      <c r="D641" s="6">
        <v>0</v>
      </c>
      <c r="E641" s="88">
        <f t="shared" si="16"/>
        <v>0</v>
      </c>
      <c r="F641" s="6">
        <v>0</v>
      </c>
      <c r="G641" s="6">
        <v>0</v>
      </c>
      <c r="H641" s="2"/>
    </row>
    <row r="642" spans="1:8" ht="12.75">
      <c r="A642" s="29" t="s">
        <v>227</v>
      </c>
      <c r="B642" s="62" t="s">
        <v>135</v>
      </c>
      <c r="C642" s="6">
        <v>60000</v>
      </c>
      <c r="D642" s="6">
        <v>30000</v>
      </c>
      <c r="E642" s="88">
        <f t="shared" si="16"/>
        <v>54000</v>
      </c>
      <c r="F642" s="6">
        <v>84000</v>
      </c>
      <c r="G642" s="6">
        <v>60000</v>
      </c>
      <c r="H642" s="2"/>
    </row>
    <row r="643" spans="1:8" ht="12.75">
      <c r="A643" s="41" t="s">
        <v>45</v>
      </c>
      <c r="B643" s="63" t="s">
        <v>136</v>
      </c>
      <c r="C643" s="6">
        <v>0</v>
      </c>
      <c r="D643" s="6">
        <v>0</v>
      </c>
      <c r="E643" s="88">
        <f t="shared" si="16"/>
        <v>0</v>
      </c>
      <c r="F643" s="6">
        <v>0</v>
      </c>
      <c r="G643" s="6">
        <v>0</v>
      </c>
      <c r="H643" s="2"/>
    </row>
    <row r="644" spans="1:8" ht="12.75">
      <c r="A644" s="29" t="s">
        <v>251</v>
      </c>
      <c r="B644" s="62" t="s">
        <v>252</v>
      </c>
      <c r="C644" s="283">
        <v>0</v>
      </c>
      <c r="D644" s="6">
        <v>0</v>
      </c>
      <c r="E644" s="152">
        <f t="shared" si="16"/>
        <v>0</v>
      </c>
      <c r="F644" s="283">
        <v>0</v>
      </c>
      <c r="G644" s="283">
        <v>0</v>
      </c>
      <c r="H644" s="59"/>
    </row>
    <row r="645" spans="1:8" ht="12.75">
      <c r="A645" s="29" t="s">
        <v>253</v>
      </c>
      <c r="B645" s="62" t="s">
        <v>254</v>
      </c>
      <c r="C645" s="283">
        <v>0</v>
      </c>
      <c r="D645" s="6">
        <v>0</v>
      </c>
      <c r="E645" s="152">
        <f t="shared" si="16"/>
        <v>0</v>
      </c>
      <c r="F645" s="283">
        <v>0</v>
      </c>
      <c r="G645" s="283">
        <v>0</v>
      </c>
      <c r="H645" s="59"/>
    </row>
    <row r="646" spans="1:8" ht="12.75">
      <c r="A646" s="29" t="s">
        <v>146</v>
      </c>
      <c r="B646" s="62" t="s">
        <v>147</v>
      </c>
      <c r="C646" s="6">
        <v>0</v>
      </c>
      <c r="D646" s="6">
        <v>0</v>
      </c>
      <c r="E646" s="88">
        <f t="shared" si="16"/>
        <v>0</v>
      </c>
      <c r="F646" s="6">
        <v>0</v>
      </c>
      <c r="G646" s="6">
        <v>0</v>
      </c>
      <c r="H646" s="59"/>
    </row>
    <row r="647" spans="1:8" ht="12.75">
      <c r="A647" s="131" t="s">
        <v>148</v>
      </c>
      <c r="B647" s="190" t="s">
        <v>149</v>
      </c>
      <c r="C647" s="6">
        <v>0</v>
      </c>
      <c r="D647" s="6">
        <v>0</v>
      </c>
      <c r="E647" s="88">
        <f t="shared" si="16"/>
        <v>0</v>
      </c>
      <c r="F647" s="6">
        <v>0</v>
      </c>
      <c r="G647" s="6">
        <v>0</v>
      </c>
      <c r="H647" s="59"/>
    </row>
    <row r="648" spans="1:8" ht="12.75">
      <c r="A648" s="29" t="s">
        <v>5</v>
      </c>
      <c r="B648" s="62" t="s">
        <v>138</v>
      </c>
      <c r="C648" s="6">
        <v>0</v>
      </c>
      <c r="D648" s="6">
        <v>0</v>
      </c>
      <c r="E648" s="88">
        <f t="shared" si="16"/>
        <v>0</v>
      </c>
      <c r="F648" s="6">
        <v>0</v>
      </c>
      <c r="G648" s="6">
        <v>0</v>
      </c>
      <c r="H648" s="59"/>
    </row>
    <row r="649" spans="1:8" ht="12.75">
      <c r="A649" s="29" t="s">
        <v>66</v>
      </c>
      <c r="B649" s="34" t="s">
        <v>139</v>
      </c>
      <c r="C649" s="6">
        <v>0</v>
      </c>
      <c r="D649" s="6">
        <v>0</v>
      </c>
      <c r="E649" s="88">
        <f t="shared" si="16"/>
        <v>0</v>
      </c>
      <c r="F649" s="6">
        <v>0</v>
      </c>
      <c r="G649" s="6">
        <v>0</v>
      </c>
      <c r="H649" s="59"/>
    </row>
    <row r="650" spans="1:8" ht="12.75">
      <c r="A650" s="29" t="s">
        <v>270</v>
      </c>
      <c r="B650" s="62" t="s">
        <v>271</v>
      </c>
      <c r="C650" s="88">
        <v>0</v>
      </c>
      <c r="D650" s="191">
        <v>0</v>
      </c>
      <c r="E650" s="88">
        <f t="shared" si="16"/>
        <v>0</v>
      </c>
      <c r="F650" s="88">
        <v>0</v>
      </c>
      <c r="G650" s="88">
        <v>0</v>
      </c>
      <c r="H650" s="59"/>
    </row>
    <row r="651" spans="1:8" ht="12.75">
      <c r="A651" s="41" t="s">
        <v>58</v>
      </c>
      <c r="B651" s="63" t="s">
        <v>153</v>
      </c>
      <c r="C651" s="6">
        <v>0</v>
      </c>
      <c r="D651" s="6">
        <v>0</v>
      </c>
      <c r="E651" s="88">
        <f t="shared" si="16"/>
        <v>0</v>
      </c>
      <c r="F651" s="6">
        <v>0</v>
      </c>
      <c r="G651" s="6">
        <v>0</v>
      </c>
      <c r="H651" s="59"/>
    </row>
    <row r="652" spans="1:11" ht="12.75">
      <c r="A652" s="43" t="s">
        <v>192</v>
      </c>
      <c r="B652" s="5"/>
      <c r="C652" s="140">
        <f>SUM(C635:C651)</f>
        <v>128422.5</v>
      </c>
      <c r="D652" s="8">
        <f>SUM(D635:D651)</f>
        <v>33909.5</v>
      </c>
      <c r="E652" s="8">
        <f>SUM(E635:E651)</f>
        <v>170090.5</v>
      </c>
      <c r="F652" s="8">
        <f>SUM(F635:F651)</f>
        <v>204000</v>
      </c>
      <c r="G652" s="8">
        <f>SUM(G635:G651)</f>
        <v>180000</v>
      </c>
      <c r="H652" s="59"/>
      <c r="J652" s="14"/>
      <c r="K652" s="14"/>
    </row>
    <row r="653" spans="1:8" ht="12.75">
      <c r="A653" s="18"/>
      <c r="B653" s="5"/>
      <c r="C653" s="140"/>
      <c r="D653" s="8"/>
      <c r="E653" s="8"/>
      <c r="F653" s="8"/>
      <c r="G653" s="8"/>
      <c r="H653" s="59"/>
    </row>
    <row r="654" spans="1:9" ht="12.75">
      <c r="A654" s="43" t="s">
        <v>44</v>
      </c>
      <c r="B654" s="5"/>
      <c r="C654" s="77"/>
      <c r="D654" s="64"/>
      <c r="E654" s="64"/>
      <c r="F654" s="64"/>
      <c r="G654" s="64"/>
      <c r="H654" s="59"/>
      <c r="I654" s="14"/>
    </row>
    <row r="655" spans="1:8" ht="12.75">
      <c r="A655" s="29" t="s">
        <v>26</v>
      </c>
      <c r="B655" s="39" t="s">
        <v>155</v>
      </c>
      <c r="C655" s="6">
        <v>42500</v>
      </c>
      <c r="D655" s="6">
        <v>0</v>
      </c>
      <c r="E655" s="88">
        <f>F655-D655</f>
        <v>0</v>
      </c>
      <c r="F655" s="6">
        <v>0</v>
      </c>
      <c r="G655" s="6">
        <v>0</v>
      </c>
      <c r="H655" s="59"/>
    </row>
    <row r="656" spans="1:8" ht="12.75">
      <c r="A656" s="29" t="s">
        <v>211</v>
      </c>
      <c r="B656" s="39" t="s">
        <v>156</v>
      </c>
      <c r="C656" s="6">
        <v>0</v>
      </c>
      <c r="D656" s="152">
        <v>0</v>
      </c>
      <c r="E656" s="88">
        <f>F656-D656</f>
        <v>0</v>
      </c>
      <c r="F656" s="6">
        <v>0</v>
      </c>
      <c r="G656" s="6">
        <v>0</v>
      </c>
      <c r="H656" s="59"/>
    </row>
    <row r="657" spans="1:11" ht="12.75">
      <c r="A657" s="29" t="s">
        <v>92</v>
      </c>
      <c r="B657" s="39" t="s">
        <v>157</v>
      </c>
      <c r="C657" s="6">
        <v>0</v>
      </c>
      <c r="D657" s="6">
        <v>0</v>
      </c>
      <c r="E657" s="88">
        <f>F657-D657</f>
        <v>0</v>
      </c>
      <c r="F657" s="6">
        <v>0</v>
      </c>
      <c r="G657" s="6">
        <v>0</v>
      </c>
      <c r="H657" s="16"/>
      <c r="I657" s="14"/>
      <c r="J657" s="14"/>
      <c r="K657" s="14"/>
    </row>
    <row r="658" spans="1:12" ht="12.75">
      <c r="A658" s="43" t="s">
        <v>77</v>
      </c>
      <c r="B658" s="5"/>
      <c r="C658" s="140">
        <f>SUM(C655:C657)</f>
        <v>42500</v>
      </c>
      <c r="D658" s="8">
        <f>SUM(D655:D657)</f>
        <v>0</v>
      </c>
      <c r="E658" s="8">
        <f>SUM(E655:E657)</f>
        <v>0</v>
      </c>
      <c r="F658" s="8">
        <f>SUM(F655:F657)</f>
        <v>0</v>
      </c>
      <c r="G658" s="8">
        <f>SUM(G655:G657)</f>
        <v>0</v>
      </c>
      <c r="H658" s="59"/>
      <c r="L658" s="14"/>
    </row>
    <row r="659" spans="1:8" ht="6.75" customHeight="1">
      <c r="A659" s="5"/>
      <c r="B659" s="5"/>
      <c r="C659" s="6"/>
      <c r="D659" s="6"/>
      <c r="E659" s="6"/>
      <c r="F659" s="6"/>
      <c r="G659" s="6"/>
      <c r="H659" s="59"/>
    </row>
    <row r="660" spans="1:8" ht="12.75">
      <c r="A660" s="7" t="s">
        <v>34</v>
      </c>
      <c r="B660" s="7"/>
      <c r="C660" s="8">
        <f>C620+C652+C658</f>
        <v>1257077.88</v>
      </c>
      <c r="D660" s="8">
        <f>D620+D652+D658</f>
        <v>637046.2000000001</v>
      </c>
      <c r="E660" s="8">
        <f>E620+E652+E658</f>
        <v>1188783.75</v>
      </c>
      <c r="F660" s="8">
        <f>F620+F652+F658</f>
        <v>1825829.95</v>
      </c>
      <c r="G660" s="8">
        <f>G620+G652+G658</f>
        <v>1859707.69</v>
      </c>
      <c r="H660" s="59"/>
    </row>
    <row r="661" spans="1:8" ht="6" customHeight="1">
      <c r="A661" s="4"/>
      <c r="B661" s="4"/>
      <c r="C661" s="10"/>
      <c r="D661" s="155"/>
      <c r="E661" s="155"/>
      <c r="F661" s="117"/>
      <c r="G661" s="4"/>
      <c r="H661" s="59"/>
    </row>
    <row r="662" spans="1:8" ht="12.75">
      <c r="A662" s="2"/>
      <c r="B662" s="2"/>
      <c r="C662" s="2"/>
      <c r="D662" s="2"/>
      <c r="E662" s="2"/>
      <c r="F662" s="2"/>
      <c r="G662" s="59"/>
      <c r="H662" s="59"/>
    </row>
    <row r="663" spans="1:8" ht="12.75">
      <c r="A663" s="2" t="s">
        <v>185</v>
      </c>
      <c r="B663" s="2" t="s">
        <v>186</v>
      </c>
      <c r="C663" s="2"/>
      <c r="D663" s="2"/>
      <c r="E663" s="161" t="s">
        <v>170</v>
      </c>
      <c r="F663" s="2"/>
      <c r="G663" s="59"/>
      <c r="H663" s="59"/>
    </row>
    <row r="664" spans="1:8" ht="2.25" customHeight="1">
      <c r="A664" s="2"/>
      <c r="B664" s="2"/>
      <c r="C664" s="2"/>
      <c r="D664" s="2"/>
      <c r="E664" s="161"/>
      <c r="F664" s="2"/>
      <c r="G664" s="2"/>
      <c r="H664" s="59"/>
    </row>
    <row r="665" spans="1:8" ht="12.75">
      <c r="A665" s="2"/>
      <c r="B665" s="2"/>
      <c r="C665" s="2"/>
      <c r="D665" s="2"/>
      <c r="E665" s="161"/>
      <c r="F665" s="2"/>
      <c r="G665" s="2"/>
      <c r="H665" s="59"/>
    </row>
    <row r="666" spans="1:8" ht="12.75">
      <c r="A666" s="2"/>
      <c r="B666" s="22"/>
      <c r="C666" s="22"/>
      <c r="D666" s="22"/>
      <c r="E666" s="162"/>
      <c r="F666" s="22"/>
      <c r="G666" s="2"/>
      <c r="H666" s="59"/>
    </row>
    <row r="667" spans="1:8" ht="12.75">
      <c r="A667" s="98" t="s">
        <v>161</v>
      </c>
      <c r="B667" s="22" t="s">
        <v>277</v>
      </c>
      <c r="C667" s="22"/>
      <c r="D667" s="22"/>
      <c r="E667" s="162" t="s">
        <v>161</v>
      </c>
      <c r="F667" s="22"/>
      <c r="G667" s="2"/>
      <c r="H667" s="59"/>
    </row>
    <row r="668" spans="1:8" ht="12.75">
      <c r="A668" s="74" t="s">
        <v>25</v>
      </c>
      <c r="B668" s="2" t="s">
        <v>373</v>
      </c>
      <c r="C668" s="2"/>
      <c r="D668" s="2"/>
      <c r="E668" s="161" t="s">
        <v>25</v>
      </c>
      <c r="F668" s="2"/>
      <c r="G668" s="2"/>
      <c r="H668" s="59"/>
    </row>
    <row r="669" spans="1:8" ht="12.75">
      <c r="A669" s="2"/>
      <c r="B669" s="2"/>
      <c r="C669" s="2"/>
      <c r="D669" s="2"/>
      <c r="E669" s="2"/>
      <c r="F669" s="2"/>
      <c r="H669" s="59"/>
    </row>
    <row r="670" spans="1:8" ht="12.75">
      <c r="A670" s="19" t="s">
        <v>208</v>
      </c>
      <c r="B670" s="2"/>
      <c r="C670" s="2"/>
      <c r="D670" s="2"/>
      <c r="E670" s="2"/>
      <c r="F670" s="2"/>
      <c r="G670" s="2"/>
      <c r="H670" s="59"/>
    </row>
    <row r="671" spans="1:8" ht="12.75">
      <c r="A671" s="2"/>
      <c r="B671" s="2"/>
      <c r="C671" s="2"/>
      <c r="D671" s="2"/>
      <c r="E671" s="2"/>
      <c r="F671" s="2"/>
      <c r="G671" s="2"/>
      <c r="H671" s="59"/>
    </row>
    <row r="672" spans="1:8" ht="15">
      <c r="A672" s="474" t="s">
        <v>165</v>
      </c>
      <c r="B672" s="474"/>
      <c r="C672" s="474"/>
      <c r="D672" s="474"/>
      <c r="E672" s="474"/>
      <c r="F672" s="474"/>
      <c r="G672" s="474"/>
      <c r="H672" s="133"/>
    </row>
    <row r="673" spans="1:8" ht="15">
      <c r="A673" s="474" t="s">
        <v>172</v>
      </c>
      <c r="B673" s="474"/>
      <c r="C673" s="474"/>
      <c r="D673" s="474"/>
      <c r="E673" s="474"/>
      <c r="F673" s="474"/>
      <c r="G673" s="474"/>
      <c r="H673" s="133"/>
    </row>
    <row r="674" spans="1:8" ht="12.75">
      <c r="A674" s="54"/>
      <c r="B674" s="54"/>
      <c r="C674" s="54"/>
      <c r="D674" s="54"/>
      <c r="E674" s="54"/>
      <c r="F674" s="54"/>
      <c r="G674" s="54"/>
      <c r="H674" s="133"/>
    </row>
    <row r="675" spans="1:8" ht="12.75">
      <c r="A675" s="54"/>
      <c r="B675" s="54"/>
      <c r="C675" s="54"/>
      <c r="D675" s="54"/>
      <c r="E675" s="54"/>
      <c r="F675" s="54"/>
      <c r="G675" s="54"/>
      <c r="H675" s="133"/>
    </row>
    <row r="676" spans="1:8" ht="12.75">
      <c r="A676" s="21" t="s">
        <v>52</v>
      </c>
      <c r="B676" s="21" t="s">
        <v>87</v>
      </c>
      <c r="C676" s="21"/>
      <c r="D676" s="21"/>
      <c r="E676" s="21"/>
      <c r="F676" s="2"/>
      <c r="G676" s="2"/>
      <c r="H676" s="133"/>
    </row>
    <row r="677" spans="1:8" ht="12.75">
      <c r="A677" s="2"/>
      <c r="B677" s="21"/>
      <c r="C677" s="2"/>
      <c r="D677" s="2"/>
      <c r="E677" s="2"/>
      <c r="F677" s="2"/>
      <c r="G677" s="2"/>
      <c r="H677" s="133"/>
    </row>
    <row r="678" spans="1:8" ht="12.75">
      <c r="A678" s="23"/>
      <c r="B678" s="23"/>
      <c r="C678" s="475" t="s">
        <v>79</v>
      </c>
      <c r="D678" s="479" t="s">
        <v>166</v>
      </c>
      <c r="E678" s="480"/>
      <c r="F678" s="481"/>
      <c r="G678" s="482" t="s">
        <v>73</v>
      </c>
      <c r="H678" s="133"/>
    </row>
    <row r="679" spans="1:8" ht="12.75">
      <c r="A679" s="24" t="s">
        <v>167</v>
      </c>
      <c r="B679" s="304" t="s">
        <v>241</v>
      </c>
      <c r="C679" s="476"/>
      <c r="D679" s="24" t="s">
        <v>168</v>
      </c>
      <c r="E679" s="24" t="s">
        <v>169</v>
      </c>
      <c r="F679" s="477" t="s">
        <v>23</v>
      </c>
      <c r="G679" s="483"/>
      <c r="H679" s="133"/>
    </row>
    <row r="680" spans="1:8" ht="12.75">
      <c r="A680" s="24"/>
      <c r="B680" s="24"/>
      <c r="C680" s="24" t="s">
        <v>53</v>
      </c>
      <c r="D680" s="24" t="s">
        <v>53</v>
      </c>
      <c r="E680" s="156" t="s">
        <v>86</v>
      </c>
      <c r="F680" s="478"/>
      <c r="G680" s="3" t="s">
        <v>54</v>
      </c>
      <c r="H680" s="133"/>
    </row>
    <row r="681" spans="1:8" ht="12.75">
      <c r="A681" s="46">
        <v>1</v>
      </c>
      <c r="B681" s="46">
        <v>2</v>
      </c>
      <c r="C681" s="46">
        <v>3</v>
      </c>
      <c r="D681" s="90">
        <v>4</v>
      </c>
      <c r="E681" s="90">
        <v>5</v>
      </c>
      <c r="F681" s="90">
        <v>6</v>
      </c>
      <c r="G681" s="91">
        <v>7</v>
      </c>
      <c r="H681" s="133"/>
    </row>
    <row r="682" spans="1:8" ht="12.75">
      <c r="A682" s="5"/>
      <c r="B682" s="5"/>
      <c r="C682" s="5"/>
      <c r="D682" s="116"/>
      <c r="E682" s="116"/>
      <c r="F682" s="116"/>
      <c r="G682" s="5"/>
      <c r="H682" s="133"/>
    </row>
    <row r="683" spans="1:8" ht="15">
      <c r="A683" s="18"/>
      <c r="B683" s="72"/>
      <c r="C683" s="5"/>
      <c r="D683" s="116"/>
      <c r="E683" s="116"/>
      <c r="F683" s="116"/>
      <c r="G683" s="92"/>
      <c r="H683" s="133"/>
    </row>
    <row r="684" spans="1:8" ht="12.75">
      <c r="A684" s="112" t="s">
        <v>51</v>
      </c>
      <c r="B684" s="62"/>
      <c r="C684" s="285">
        <v>17815396.2</v>
      </c>
      <c r="D684" s="121">
        <v>15395983.2</v>
      </c>
      <c r="E684" s="88">
        <f>F684-D684</f>
        <v>39219391</v>
      </c>
      <c r="F684" s="285">
        <v>54615374.2</v>
      </c>
      <c r="G684" s="285">
        <v>45647169.2</v>
      </c>
      <c r="H684" s="133"/>
    </row>
    <row r="685" spans="1:11" ht="12.75">
      <c r="A685" s="149" t="s">
        <v>112</v>
      </c>
      <c r="B685" s="62"/>
      <c r="C685" s="285">
        <v>7925597.06</v>
      </c>
      <c r="D685" s="285">
        <v>1391100</v>
      </c>
      <c r="E685" s="88">
        <f>F685-D685</f>
        <v>12426378.56</v>
      </c>
      <c r="F685" s="285">
        <v>13817478.56</v>
      </c>
      <c r="G685" s="285">
        <v>11940842.3</v>
      </c>
      <c r="H685" s="133"/>
      <c r="J685" s="14"/>
      <c r="K685" s="14"/>
    </row>
    <row r="686" spans="1:8" ht="12.75">
      <c r="A686" s="112" t="s">
        <v>32</v>
      </c>
      <c r="B686" s="62"/>
      <c r="C686" s="285">
        <v>22600</v>
      </c>
      <c r="D686" s="285">
        <v>0</v>
      </c>
      <c r="E686" s="88">
        <f>F686-D686</f>
        <v>31000</v>
      </c>
      <c r="F686" s="285">
        <v>31000</v>
      </c>
      <c r="G686" s="285">
        <v>31000</v>
      </c>
      <c r="H686" s="133"/>
    </row>
    <row r="687" spans="1:8" ht="12.75">
      <c r="A687" s="112"/>
      <c r="B687" s="62"/>
      <c r="C687" s="60"/>
      <c r="D687" s="285"/>
      <c r="E687" s="88"/>
      <c r="F687" s="60"/>
      <c r="G687" s="60"/>
      <c r="H687" s="133"/>
    </row>
    <row r="688" spans="1:11" ht="12.75">
      <c r="A688" s="28"/>
      <c r="B688" s="27"/>
      <c r="C688" s="113"/>
      <c r="D688" s="113"/>
      <c r="E688" s="113"/>
      <c r="F688" s="113"/>
      <c r="G688" s="113"/>
      <c r="H688" s="16"/>
      <c r="J688" s="14"/>
      <c r="K688" s="14"/>
    </row>
    <row r="689" spans="1:12" ht="12.75">
      <c r="A689" s="26" t="s">
        <v>34</v>
      </c>
      <c r="B689" s="27"/>
      <c r="C689" s="31">
        <f>SUM(C684:C687)</f>
        <v>25763593.259999998</v>
      </c>
      <c r="D689" s="31">
        <f>SUM(D684:D687)</f>
        <v>16787083.2</v>
      </c>
      <c r="E689" s="31">
        <f>SUM(E684:E687)</f>
        <v>51676769.56</v>
      </c>
      <c r="F689" s="31">
        <f>SUM(F684:F687)</f>
        <v>68463852.76</v>
      </c>
      <c r="G689" s="31">
        <f>SUM(G684:G687)</f>
        <v>57619011.5</v>
      </c>
      <c r="H689" s="16"/>
      <c r="L689" s="14"/>
    </row>
    <row r="690" spans="1:8" ht="12.75">
      <c r="A690" s="28"/>
      <c r="B690" s="27"/>
      <c r="C690" s="88"/>
      <c r="D690" s="88"/>
      <c r="E690" s="88"/>
      <c r="F690" s="88"/>
      <c r="G690" s="88"/>
      <c r="H690" s="133"/>
    </row>
    <row r="691" spans="1:9" ht="9" customHeight="1">
      <c r="A691" s="114"/>
      <c r="B691" s="114"/>
      <c r="C691" s="115"/>
      <c r="D691" s="115"/>
      <c r="E691" s="115"/>
      <c r="F691" s="115"/>
      <c r="G691" s="115"/>
      <c r="H691" s="133"/>
      <c r="I691" s="14"/>
    </row>
    <row r="692" spans="1:8" ht="12.75">
      <c r="A692" s="2"/>
      <c r="B692" s="2"/>
      <c r="C692" s="2"/>
      <c r="D692" s="2"/>
      <c r="E692" s="2"/>
      <c r="F692" s="59"/>
      <c r="H692" s="133"/>
    </row>
    <row r="693" spans="1:8" ht="12.75">
      <c r="A693" s="2" t="s">
        <v>185</v>
      </c>
      <c r="B693" s="2" t="s">
        <v>186</v>
      </c>
      <c r="C693" s="2"/>
      <c r="D693" s="2"/>
      <c r="E693" s="161" t="s">
        <v>170</v>
      </c>
      <c r="F693" s="2"/>
      <c r="G693" s="14"/>
      <c r="H693" s="59"/>
    </row>
    <row r="694" spans="1:12" ht="12.75">
      <c r="A694" s="2"/>
      <c r="B694" s="2"/>
      <c r="C694" s="2"/>
      <c r="D694" s="2"/>
      <c r="E694" s="161"/>
      <c r="F694" s="2"/>
      <c r="H694" s="16"/>
      <c r="L694" s="14"/>
    </row>
    <row r="695" spans="1:8" ht="12.75">
      <c r="A695" s="2"/>
      <c r="B695" s="2"/>
      <c r="C695" s="2"/>
      <c r="D695" s="2"/>
      <c r="E695" s="161"/>
      <c r="F695" s="2"/>
      <c r="H695" s="59"/>
    </row>
    <row r="696" spans="1:13" ht="12.75">
      <c r="A696" s="2"/>
      <c r="B696" s="22"/>
      <c r="C696" s="22"/>
      <c r="D696" s="22"/>
      <c r="E696" s="162"/>
      <c r="F696" s="22"/>
      <c r="H696" s="16"/>
      <c r="M696" s="14"/>
    </row>
    <row r="697" spans="1:8" ht="12.75" customHeight="1">
      <c r="A697" s="98" t="s">
        <v>161</v>
      </c>
      <c r="B697" s="22" t="s">
        <v>277</v>
      </c>
      <c r="C697" s="22"/>
      <c r="D697" s="22"/>
      <c r="E697" s="162" t="s">
        <v>161</v>
      </c>
      <c r="F697" s="22"/>
      <c r="H697" s="2"/>
    </row>
    <row r="698" spans="1:8" ht="12.75">
      <c r="A698" s="74" t="s">
        <v>25</v>
      </c>
      <c r="B698" s="2" t="s">
        <v>373</v>
      </c>
      <c r="C698" s="2"/>
      <c r="D698" s="2"/>
      <c r="E698" s="161" t="s">
        <v>25</v>
      </c>
      <c r="F698" s="2"/>
      <c r="H698" s="59"/>
    </row>
    <row r="699" spans="1:8" ht="8.25" customHeight="1">
      <c r="A699" s="22"/>
      <c r="B699" s="22"/>
      <c r="C699" s="22"/>
      <c r="D699" s="22"/>
      <c r="E699" s="22"/>
      <c r="F699" s="22"/>
      <c r="H699" s="59"/>
    </row>
    <row r="700" spans="1:8" ht="8.25" customHeight="1">
      <c r="A700" s="22"/>
      <c r="B700" s="22"/>
      <c r="C700" s="22"/>
      <c r="D700" s="22"/>
      <c r="E700" s="22"/>
      <c r="F700" s="22"/>
      <c r="H700" s="59"/>
    </row>
    <row r="701" spans="1:8" ht="12.75">
      <c r="A701" s="2"/>
      <c r="B701" s="2"/>
      <c r="C701" s="2"/>
      <c r="D701" s="2"/>
      <c r="E701" s="2"/>
      <c r="F701" s="2"/>
      <c r="H701" s="2"/>
    </row>
    <row r="702" spans="1:8" ht="12.75">
      <c r="A702" s="2"/>
      <c r="B702" s="2"/>
      <c r="C702" s="2"/>
      <c r="D702" s="2"/>
      <c r="E702" s="2"/>
      <c r="F702" s="2"/>
      <c r="H702" s="2"/>
    </row>
    <row r="703" spans="1:8" ht="12.75">
      <c r="A703" s="2"/>
      <c r="B703" s="2"/>
      <c r="C703" s="2"/>
      <c r="D703" s="2"/>
      <c r="E703" s="2"/>
      <c r="F703" s="2"/>
      <c r="H703" s="2"/>
    </row>
    <row r="704" spans="1:8" ht="12.75">
      <c r="A704" s="2"/>
      <c r="B704" s="2"/>
      <c r="C704" s="2"/>
      <c r="D704" s="2"/>
      <c r="E704" s="2"/>
      <c r="F704" s="2"/>
      <c r="H704" s="2"/>
    </row>
    <row r="705" spans="1:8" ht="12.75">
      <c r="A705" s="2"/>
      <c r="B705" s="2"/>
      <c r="C705" s="2"/>
      <c r="D705" s="2"/>
      <c r="E705" s="2"/>
      <c r="F705" s="2"/>
      <c r="H705" s="2"/>
    </row>
    <row r="706" spans="1:8" ht="12.75">
      <c r="A706" s="2"/>
      <c r="B706" s="2"/>
      <c r="C706" s="2"/>
      <c r="D706" s="2"/>
      <c r="E706" s="2"/>
      <c r="F706" s="2"/>
      <c r="H706" s="2"/>
    </row>
    <row r="707" spans="1:8" ht="12.75">
      <c r="A707" s="2"/>
      <c r="B707" s="2"/>
      <c r="C707" s="2"/>
      <c r="D707" s="2"/>
      <c r="E707" s="2"/>
      <c r="F707" s="2"/>
      <c r="H707" s="2"/>
    </row>
    <row r="708" spans="1:8" ht="12.75">
      <c r="A708" s="2"/>
      <c r="B708" s="2"/>
      <c r="C708" s="2"/>
      <c r="D708" s="2"/>
      <c r="E708" s="2"/>
      <c r="F708" s="2"/>
      <c r="H708" s="2"/>
    </row>
    <row r="709" spans="1:8" ht="12.75">
      <c r="A709" s="19" t="s">
        <v>208</v>
      </c>
      <c r="B709" s="2"/>
      <c r="C709" s="2"/>
      <c r="D709" s="2"/>
      <c r="E709" s="2"/>
      <c r="F709" s="2"/>
      <c r="G709" s="2"/>
      <c r="H709" s="54"/>
    </row>
    <row r="710" spans="1:8" ht="12.75">
      <c r="A710" s="19"/>
      <c r="B710" s="2"/>
      <c r="C710" s="2"/>
      <c r="D710" s="2"/>
      <c r="E710" s="2"/>
      <c r="F710" s="2"/>
      <c r="G710" s="2"/>
      <c r="H710" s="2"/>
    </row>
    <row r="711" spans="1:8" ht="15">
      <c r="A711" s="474" t="s">
        <v>165</v>
      </c>
      <c r="B711" s="474"/>
      <c r="C711" s="474"/>
      <c r="D711" s="474"/>
      <c r="E711" s="474"/>
      <c r="F711" s="474"/>
      <c r="G711" s="474"/>
      <c r="H711" s="2"/>
    </row>
    <row r="712" spans="1:8" ht="15">
      <c r="A712" s="474" t="s">
        <v>172</v>
      </c>
      <c r="B712" s="474"/>
      <c r="C712" s="474"/>
      <c r="D712" s="474"/>
      <c r="E712" s="474"/>
      <c r="F712" s="474"/>
      <c r="G712" s="474"/>
      <c r="H712" s="2"/>
    </row>
    <row r="713" spans="1:8" ht="12.75">
      <c r="A713" s="54"/>
      <c r="B713" s="54"/>
      <c r="C713" s="54"/>
      <c r="D713" s="54"/>
      <c r="E713" s="54"/>
      <c r="F713" s="54"/>
      <c r="G713" s="54"/>
      <c r="H713" s="2"/>
    </row>
    <row r="714" spans="1:8" ht="12.75">
      <c r="A714" s="54"/>
      <c r="B714" s="54"/>
      <c r="C714" s="54"/>
      <c r="D714" s="54"/>
      <c r="E714" s="54"/>
      <c r="F714" s="54"/>
      <c r="G714" s="54"/>
      <c r="H714" s="2"/>
    </row>
    <row r="715" spans="1:8" ht="12.75">
      <c r="A715" s="21" t="s">
        <v>52</v>
      </c>
      <c r="B715" s="21" t="s">
        <v>37</v>
      </c>
      <c r="C715" s="21"/>
      <c r="D715" s="21"/>
      <c r="E715" s="21"/>
      <c r="F715" s="2"/>
      <c r="G715" s="2"/>
      <c r="H715" s="154"/>
    </row>
    <row r="716" spans="1:8" ht="12.75">
      <c r="A716" s="2"/>
      <c r="B716" s="2"/>
      <c r="C716" s="2"/>
      <c r="D716" s="2"/>
      <c r="E716" s="2"/>
      <c r="F716" s="2"/>
      <c r="G716" s="2"/>
      <c r="H716" s="154"/>
    </row>
    <row r="717" spans="1:8" ht="12.75">
      <c r="A717" s="23"/>
      <c r="B717" s="23"/>
      <c r="C717" s="475" t="s">
        <v>79</v>
      </c>
      <c r="D717" s="479" t="s">
        <v>166</v>
      </c>
      <c r="E717" s="480"/>
      <c r="F717" s="481"/>
      <c r="G717" s="482" t="s">
        <v>73</v>
      </c>
      <c r="H717" s="163"/>
    </row>
    <row r="718" spans="1:8" ht="12.75">
      <c r="A718" s="24" t="s">
        <v>167</v>
      </c>
      <c r="B718" s="304" t="s">
        <v>241</v>
      </c>
      <c r="C718" s="476"/>
      <c r="D718" s="24" t="s">
        <v>168</v>
      </c>
      <c r="E718" s="24" t="s">
        <v>169</v>
      </c>
      <c r="F718" s="477" t="s">
        <v>23</v>
      </c>
      <c r="G718" s="483"/>
      <c r="H718" s="2"/>
    </row>
    <row r="719" spans="1:8" ht="12.75">
      <c r="A719" s="24"/>
      <c r="B719" s="24"/>
      <c r="C719" s="24" t="s">
        <v>53</v>
      </c>
      <c r="D719" s="24" t="s">
        <v>53</v>
      </c>
      <c r="E719" s="156" t="s">
        <v>86</v>
      </c>
      <c r="F719" s="478"/>
      <c r="G719" s="3" t="s">
        <v>54</v>
      </c>
      <c r="H719" s="2"/>
    </row>
    <row r="720" spans="1:8" ht="12.75">
      <c r="A720" s="46">
        <v>1</v>
      </c>
      <c r="B720" s="46">
        <v>2</v>
      </c>
      <c r="C720" s="46">
        <v>3</v>
      </c>
      <c r="D720" s="90">
        <v>4</v>
      </c>
      <c r="E720" s="90">
        <v>5</v>
      </c>
      <c r="F720" s="90">
        <v>6</v>
      </c>
      <c r="G720" s="91">
        <v>7</v>
      </c>
      <c r="H720" s="2"/>
    </row>
    <row r="721" spans="1:8" ht="12.75">
      <c r="A721" s="5"/>
      <c r="B721" s="5"/>
      <c r="C721" s="5"/>
      <c r="D721" s="116"/>
      <c r="E721" s="116"/>
      <c r="F721" s="116"/>
      <c r="G721" s="5"/>
      <c r="H721" s="2"/>
    </row>
    <row r="722" spans="1:8" ht="15">
      <c r="A722" s="42" t="s">
        <v>43</v>
      </c>
      <c r="B722" s="72"/>
      <c r="C722" s="5"/>
      <c r="D722" s="116"/>
      <c r="E722" s="116"/>
      <c r="F722" s="116"/>
      <c r="G722" s="92"/>
      <c r="H722" s="59"/>
    </row>
    <row r="723" spans="1:8" ht="12.75">
      <c r="A723" s="41" t="s">
        <v>222</v>
      </c>
      <c r="B723" s="157" t="s">
        <v>113</v>
      </c>
      <c r="C723" s="123">
        <v>1438196</v>
      </c>
      <c r="D723" s="93">
        <v>744978</v>
      </c>
      <c r="E723" s="88">
        <f aca="true" t="shared" si="17" ref="E723:E737">F723-D723</f>
        <v>746070</v>
      </c>
      <c r="F723" s="123">
        <v>1491048</v>
      </c>
      <c r="G723" s="123">
        <v>1494660</v>
      </c>
      <c r="H723" s="59"/>
    </row>
    <row r="724" spans="1:8" ht="12.75">
      <c r="A724" s="29" t="s">
        <v>100</v>
      </c>
      <c r="B724" s="157" t="s">
        <v>114</v>
      </c>
      <c r="C724" s="123">
        <v>86000</v>
      </c>
      <c r="D724" s="93">
        <v>46000</v>
      </c>
      <c r="E724" s="88">
        <f t="shared" si="17"/>
        <v>50000</v>
      </c>
      <c r="F724" s="123">
        <v>96000</v>
      </c>
      <c r="G724" s="123">
        <v>96000</v>
      </c>
      <c r="H724" s="59"/>
    </row>
    <row r="725" spans="1:8" ht="12.75">
      <c r="A725" s="41" t="s">
        <v>42</v>
      </c>
      <c r="B725" s="157" t="s">
        <v>115</v>
      </c>
      <c r="C725" s="123">
        <v>79475</v>
      </c>
      <c r="D725" s="93">
        <v>43350</v>
      </c>
      <c r="E725" s="88">
        <f t="shared" si="17"/>
        <v>43350</v>
      </c>
      <c r="F725" s="123">
        <f>7225*12</f>
        <v>86700</v>
      </c>
      <c r="G725" s="123">
        <f>7225*12</f>
        <v>86700</v>
      </c>
      <c r="H725" s="59"/>
    </row>
    <row r="726" spans="1:8" ht="12.75">
      <c r="A726" s="41" t="s">
        <v>3</v>
      </c>
      <c r="B726" s="62" t="s">
        <v>159</v>
      </c>
      <c r="C726" s="123">
        <v>79475</v>
      </c>
      <c r="D726" s="93">
        <v>43350</v>
      </c>
      <c r="E726" s="88">
        <f t="shared" si="17"/>
        <v>43350</v>
      </c>
      <c r="F726" s="123">
        <f>7225*12</f>
        <v>86700</v>
      </c>
      <c r="G726" s="123">
        <v>0</v>
      </c>
      <c r="H726" s="59"/>
    </row>
    <row r="727" spans="1:8" ht="12.75">
      <c r="A727" s="41" t="s">
        <v>18</v>
      </c>
      <c r="B727" s="157" t="s">
        <v>116</v>
      </c>
      <c r="C727" s="123">
        <v>24000</v>
      </c>
      <c r="D727" s="93">
        <v>18000</v>
      </c>
      <c r="E727" s="88">
        <f t="shared" si="17"/>
        <v>6000</v>
      </c>
      <c r="F727" s="123">
        <v>24000</v>
      </c>
      <c r="G727" s="123">
        <v>24000</v>
      </c>
      <c r="H727" s="59"/>
    </row>
    <row r="728" spans="1:8" ht="12.75">
      <c r="A728" s="41" t="s">
        <v>175</v>
      </c>
      <c r="B728" s="157" t="s">
        <v>176</v>
      </c>
      <c r="C728" s="145">
        <v>15000</v>
      </c>
      <c r="D728" s="152">
        <v>0</v>
      </c>
      <c r="E728" s="88">
        <f t="shared" si="17"/>
        <v>20000</v>
      </c>
      <c r="F728" s="145">
        <v>20000</v>
      </c>
      <c r="G728" s="145">
        <v>20000</v>
      </c>
      <c r="H728" s="59"/>
    </row>
    <row r="729" spans="1:8" ht="12.75">
      <c r="A729" s="41" t="s">
        <v>27</v>
      </c>
      <c r="B729" s="157" t="s">
        <v>117</v>
      </c>
      <c r="C729" s="123">
        <v>15000</v>
      </c>
      <c r="D729" s="93">
        <v>0</v>
      </c>
      <c r="E729" s="88">
        <f t="shared" si="17"/>
        <v>20000</v>
      </c>
      <c r="F729" s="123">
        <v>20000</v>
      </c>
      <c r="G729" s="123">
        <v>20000</v>
      </c>
      <c r="H729" s="59"/>
    </row>
    <row r="730" spans="1:8" ht="12.75">
      <c r="A730" s="41" t="s">
        <v>96</v>
      </c>
      <c r="B730" s="157" t="s">
        <v>118</v>
      </c>
      <c r="C730" s="123">
        <v>109562</v>
      </c>
      <c r="D730" s="93">
        <v>0</v>
      </c>
      <c r="E730" s="88">
        <f t="shared" si="17"/>
        <v>124254</v>
      </c>
      <c r="F730" s="123">
        <f>F723/12</f>
        <v>124254</v>
      </c>
      <c r="G730" s="123">
        <f>G723/12</f>
        <v>124555</v>
      </c>
      <c r="H730" s="59"/>
    </row>
    <row r="731" spans="1:8" ht="12.75">
      <c r="A731" s="41" t="s">
        <v>173</v>
      </c>
      <c r="B731" s="157" t="s">
        <v>174</v>
      </c>
      <c r="C731" s="123">
        <v>121458</v>
      </c>
      <c r="D731" s="64">
        <v>124163</v>
      </c>
      <c r="E731" s="88">
        <f t="shared" si="17"/>
        <v>91</v>
      </c>
      <c r="F731" s="123">
        <f>F723/12</f>
        <v>124254</v>
      </c>
      <c r="G731" s="123">
        <f>G723/12</f>
        <v>124555</v>
      </c>
      <c r="H731" s="59"/>
    </row>
    <row r="732" spans="1:8" ht="12.75">
      <c r="A732" s="41" t="s">
        <v>232</v>
      </c>
      <c r="B732" s="157" t="s">
        <v>119</v>
      </c>
      <c r="C732" s="123">
        <v>167783.52</v>
      </c>
      <c r="D732" s="93">
        <v>89397.36</v>
      </c>
      <c r="E732" s="88">
        <f t="shared" si="17"/>
        <v>89528.39999999998</v>
      </c>
      <c r="F732" s="123">
        <f>F723*12%</f>
        <v>178925.75999999998</v>
      </c>
      <c r="G732" s="123">
        <v>179359.2</v>
      </c>
      <c r="H732" s="59"/>
    </row>
    <row r="733" spans="1:8" ht="12.75">
      <c r="A733" s="41" t="s">
        <v>28</v>
      </c>
      <c r="B733" s="157" t="s">
        <v>120</v>
      </c>
      <c r="C733" s="123">
        <v>4300</v>
      </c>
      <c r="D733" s="93">
        <v>2400</v>
      </c>
      <c r="E733" s="88">
        <f t="shared" si="17"/>
        <v>2400</v>
      </c>
      <c r="F733" s="123">
        <v>4800</v>
      </c>
      <c r="G733" s="123">
        <v>4800</v>
      </c>
      <c r="H733" s="59"/>
    </row>
    <row r="734" spans="1:8" ht="12.75">
      <c r="A734" s="41" t="s">
        <v>69</v>
      </c>
      <c r="B734" s="157" t="s">
        <v>121</v>
      </c>
      <c r="C734" s="123">
        <v>16145.58</v>
      </c>
      <c r="D734" s="93">
        <v>9489.03</v>
      </c>
      <c r="E734" s="88">
        <f t="shared" si="17"/>
        <v>18294.57</v>
      </c>
      <c r="F734" s="123">
        <v>27783.6</v>
      </c>
      <c r="G734" s="123">
        <v>33629.85</v>
      </c>
      <c r="H734" s="59"/>
    </row>
    <row r="735" spans="1:8" ht="12.75">
      <c r="A735" s="29" t="s">
        <v>122</v>
      </c>
      <c r="B735" s="157" t="s">
        <v>123</v>
      </c>
      <c r="C735" s="6">
        <v>4300</v>
      </c>
      <c r="D735" s="93">
        <v>2400</v>
      </c>
      <c r="E735" s="88">
        <f t="shared" si="17"/>
        <v>2400</v>
      </c>
      <c r="F735" s="6">
        <v>4800</v>
      </c>
      <c r="G735" s="6">
        <v>4800</v>
      </c>
      <c r="H735" s="59"/>
    </row>
    <row r="736" spans="1:9" ht="12.75">
      <c r="A736" s="41" t="s">
        <v>68</v>
      </c>
      <c r="B736" s="157" t="s">
        <v>124</v>
      </c>
      <c r="C736" s="6">
        <v>0</v>
      </c>
      <c r="D736" s="93">
        <v>0</v>
      </c>
      <c r="E736" s="88">
        <f t="shared" si="17"/>
        <v>882756.43</v>
      </c>
      <c r="F736" s="6">
        <v>882756.43</v>
      </c>
      <c r="G736" s="6">
        <v>0</v>
      </c>
      <c r="H736" s="59"/>
      <c r="I736" s="14"/>
    </row>
    <row r="737" spans="1:9" ht="12.75">
      <c r="A737" s="41" t="s">
        <v>99</v>
      </c>
      <c r="B737" s="157" t="s">
        <v>125</v>
      </c>
      <c r="C737" s="60">
        <v>53592.69</v>
      </c>
      <c r="D737" s="93">
        <v>48881.38</v>
      </c>
      <c r="E737" s="88">
        <f t="shared" si="17"/>
        <v>10999.980000000003</v>
      </c>
      <c r="F737" s="60">
        <v>59881.36</v>
      </c>
      <c r="G737" s="60">
        <v>60026.42</v>
      </c>
      <c r="H737" s="59"/>
      <c r="I737" s="14"/>
    </row>
    <row r="738" spans="1:9" ht="12.75">
      <c r="A738" s="18" t="s">
        <v>193</v>
      </c>
      <c r="B738" s="33"/>
      <c r="C738" s="8">
        <f>SUM(C723:C737)</f>
        <v>2214287.79</v>
      </c>
      <c r="D738" s="8">
        <f>SUM(D723:D737)</f>
        <v>1172408.77</v>
      </c>
      <c r="E738" s="8">
        <f>SUM(E723:E737)</f>
        <v>2059494.38</v>
      </c>
      <c r="F738" s="8">
        <f>SUM(F723:F737)</f>
        <v>3231903.15</v>
      </c>
      <c r="G738" s="140">
        <f>SUM(G723:G737)</f>
        <v>2273085.47</v>
      </c>
      <c r="H738" s="2"/>
      <c r="I738" s="14"/>
    </row>
    <row r="739" spans="1:9" ht="12.75">
      <c r="A739" s="5"/>
      <c r="B739" s="33"/>
      <c r="C739" s="6"/>
      <c r="D739" s="6"/>
      <c r="E739" s="6"/>
      <c r="F739" s="6"/>
      <c r="G739" s="6"/>
      <c r="H739" s="16"/>
      <c r="I739" s="14"/>
    </row>
    <row r="740" spans="1:8" ht="12.75">
      <c r="A740" s="5"/>
      <c r="B740" s="33"/>
      <c r="C740" s="6"/>
      <c r="D740" s="6"/>
      <c r="E740" s="6"/>
      <c r="F740" s="6"/>
      <c r="G740" s="6"/>
      <c r="H740" s="59"/>
    </row>
    <row r="741" spans="1:8" ht="12.75">
      <c r="A741" s="179"/>
      <c r="B741" s="182"/>
      <c r="C741" s="183"/>
      <c r="D741" s="183"/>
      <c r="E741" s="183"/>
      <c r="F741" s="183"/>
      <c r="G741" s="183"/>
      <c r="H741" s="59"/>
    </row>
    <row r="742" spans="1:8" ht="12.75">
      <c r="A742" s="2"/>
      <c r="B742" s="36"/>
      <c r="C742" s="59"/>
      <c r="D742" s="59"/>
      <c r="E742" s="59"/>
      <c r="F742" s="59"/>
      <c r="G742" s="59"/>
      <c r="H742" s="59"/>
    </row>
    <row r="743" spans="1:8" ht="12.75">
      <c r="A743" s="2"/>
      <c r="B743" s="36"/>
      <c r="C743" s="59"/>
      <c r="D743" s="59"/>
      <c r="E743" s="59"/>
      <c r="F743" s="59"/>
      <c r="G743" s="59"/>
      <c r="H743" s="59"/>
    </row>
    <row r="744" spans="1:8" ht="12.75">
      <c r="A744" s="2"/>
      <c r="B744" s="36"/>
      <c r="C744" s="59"/>
      <c r="D744" s="59"/>
      <c r="E744" s="59"/>
      <c r="F744" s="59"/>
      <c r="G744" s="59"/>
      <c r="H744" s="59"/>
    </row>
    <row r="745" spans="1:8" ht="12.75">
      <c r="A745" s="2"/>
      <c r="B745" s="36"/>
      <c r="C745" s="59"/>
      <c r="D745" s="59"/>
      <c r="E745" s="59"/>
      <c r="F745" s="59"/>
      <c r="G745" s="59"/>
      <c r="H745" s="59"/>
    </row>
    <row r="746" spans="1:8" ht="12.75">
      <c r="A746" s="68"/>
      <c r="B746" s="184"/>
      <c r="C746" s="185"/>
      <c r="D746" s="185"/>
      <c r="E746" s="185"/>
      <c r="F746" s="185"/>
      <c r="G746" s="185"/>
      <c r="H746" s="59"/>
    </row>
    <row r="747" spans="1:8" ht="12.75">
      <c r="A747" s="23"/>
      <c r="B747" s="23"/>
      <c r="C747" s="475" t="s">
        <v>79</v>
      </c>
      <c r="D747" s="479" t="s">
        <v>166</v>
      </c>
      <c r="E747" s="480"/>
      <c r="F747" s="481"/>
      <c r="G747" s="482" t="s">
        <v>73</v>
      </c>
      <c r="H747" s="59"/>
    </row>
    <row r="748" spans="1:8" ht="12.75">
      <c r="A748" s="24" t="s">
        <v>167</v>
      </c>
      <c r="B748" s="304" t="s">
        <v>241</v>
      </c>
      <c r="C748" s="476"/>
      <c r="D748" s="24" t="s">
        <v>168</v>
      </c>
      <c r="E748" s="24" t="s">
        <v>169</v>
      </c>
      <c r="F748" s="477" t="s">
        <v>23</v>
      </c>
      <c r="G748" s="483"/>
      <c r="H748" s="59"/>
    </row>
    <row r="749" spans="1:8" ht="12.75">
      <c r="A749" s="24"/>
      <c r="B749" s="24"/>
      <c r="C749" s="24" t="s">
        <v>53</v>
      </c>
      <c r="D749" s="24" t="s">
        <v>53</v>
      </c>
      <c r="E749" s="156" t="s">
        <v>86</v>
      </c>
      <c r="F749" s="478"/>
      <c r="G749" s="3" t="s">
        <v>54</v>
      </c>
      <c r="H749" s="59"/>
    </row>
    <row r="750" spans="1:8" ht="12.75">
      <c r="A750" s="46">
        <v>1</v>
      </c>
      <c r="B750" s="46">
        <v>2</v>
      </c>
      <c r="C750" s="46">
        <v>3</v>
      </c>
      <c r="D750" s="90">
        <v>4</v>
      </c>
      <c r="E750" s="90">
        <v>5</v>
      </c>
      <c r="F750" s="90">
        <v>6</v>
      </c>
      <c r="G750" s="91">
        <v>7</v>
      </c>
      <c r="H750" s="59"/>
    </row>
    <row r="751" spans="1:8" ht="11.25" customHeight="1">
      <c r="A751" s="5"/>
      <c r="B751" s="33"/>
      <c r="C751" s="6"/>
      <c r="D751" s="6"/>
      <c r="E751" s="6"/>
      <c r="F751" s="6"/>
      <c r="G751" s="6"/>
      <c r="H751" s="59"/>
    </row>
    <row r="752" spans="1:8" ht="12.75">
      <c r="A752" s="32" t="s">
        <v>189</v>
      </c>
      <c r="B752" s="72"/>
      <c r="C752" s="139"/>
      <c r="D752" s="6"/>
      <c r="E752" s="6"/>
      <c r="F752" s="6"/>
      <c r="G752" s="6"/>
      <c r="H752" s="2"/>
    </row>
    <row r="753" spans="1:8" ht="12.75">
      <c r="A753" s="29" t="s">
        <v>191</v>
      </c>
      <c r="B753" s="62" t="s">
        <v>126</v>
      </c>
      <c r="C753" s="64">
        <v>120000</v>
      </c>
      <c r="D753" s="191">
        <v>29900</v>
      </c>
      <c r="E753" s="88">
        <f aca="true" t="shared" si="18" ref="E753:E770">F753-D753</f>
        <v>90100</v>
      </c>
      <c r="F753" s="64">
        <v>120000</v>
      </c>
      <c r="G753" s="64">
        <v>120000</v>
      </c>
      <c r="H753" s="133"/>
    </row>
    <row r="754" spans="1:8" ht="12.75">
      <c r="A754" s="41" t="s">
        <v>19</v>
      </c>
      <c r="B754" s="62" t="s">
        <v>127</v>
      </c>
      <c r="C754" s="64">
        <v>50000</v>
      </c>
      <c r="D754" s="191">
        <v>50000</v>
      </c>
      <c r="E754" s="88">
        <f t="shared" si="18"/>
        <v>0</v>
      </c>
      <c r="F754" s="64">
        <v>50000</v>
      </c>
      <c r="G754" s="64">
        <v>50000</v>
      </c>
      <c r="H754" s="133"/>
    </row>
    <row r="755" spans="1:8" ht="12.75">
      <c r="A755" s="41" t="s">
        <v>2</v>
      </c>
      <c r="B755" s="62" t="s">
        <v>128</v>
      </c>
      <c r="C755" s="64">
        <v>49916.74</v>
      </c>
      <c r="D755" s="191">
        <v>4516.3</v>
      </c>
      <c r="E755" s="88">
        <f t="shared" si="18"/>
        <v>45483.7</v>
      </c>
      <c r="F755" s="64">
        <v>50000</v>
      </c>
      <c r="G755" s="64">
        <v>50000</v>
      </c>
      <c r="H755" s="133"/>
    </row>
    <row r="756" spans="1:8" ht="12.75">
      <c r="A756" s="41" t="s">
        <v>349</v>
      </c>
      <c r="B756" s="62" t="s">
        <v>219</v>
      </c>
      <c r="C756" s="64">
        <v>103000</v>
      </c>
      <c r="D756" s="191">
        <v>5490</v>
      </c>
      <c r="E756" s="88">
        <f t="shared" si="18"/>
        <v>97510</v>
      </c>
      <c r="F756" s="64">
        <v>103000</v>
      </c>
      <c r="G756" s="64">
        <v>103000</v>
      </c>
      <c r="H756" s="133"/>
    </row>
    <row r="757" spans="1:8" ht="12.75">
      <c r="A757" s="105" t="s">
        <v>201</v>
      </c>
      <c r="B757" s="62" t="s">
        <v>130</v>
      </c>
      <c r="C757" s="152">
        <v>0</v>
      </c>
      <c r="D757" s="191">
        <v>0</v>
      </c>
      <c r="E757" s="88">
        <f t="shared" si="18"/>
        <v>0</v>
      </c>
      <c r="F757" s="152">
        <v>0</v>
      </c>
      <c r="G757" s="152">
        <f>86700+413300</f>
        <v>500000</v>
      </c>
      <c r="H757" s="133"/>
    </row>
    <row r="758" spans="1:8" ht="12.75">
      <c r="A758" s="29" t="s">
        <v>63</v>
      </c>
      <c r="B758" s="62" t="s">
        <v>131</v>
      </c>
      <c r="C758" s="152">
        <v>2000</v>
      </c>
      <c r="D758" s="191">
        <v>0</v>
      </c>
      <c r="E758" s="88">
        <f t="shared" si="18"/>
        <v>2000</v>
      </c>
      <c r="F758" s="64">
        <v>2000</v>
      </c>
      <c r="G758" s="64">
        <v>2000</v>
      </c>
      <c r="H758" s="133"/>
    </row>
    <row r="759" spans="1:8" ht="12.75">
      <c r="A759" s="29" t="s">
        <v>133</v>
      </c>
      <c r="B759" s="62" t="s">
        <v>134</v>
      </c>
      <c r="C759" s="152">
        <v>0</v>
      </c>
      <c r="D759" s="191">
        <v>0</v>
      </c>
      <c r="E759" s="88">
        <f t="shared" si="18"/>
        <v>0</v>
      </c>
      <c r="F759" s="152">
        <v>0</v>
      </c>
      <c r="G759" s="152">
        <v>0</v>
      </c>
      <c r="H759" s="133"/>
    </row>
    <row r="760" spans="1:8" ht="12.75">
      <c r="A760" s="29" t="s">
        <v>227</v>
      </c>
      <c r="B760" s="62" t="s">
        <v>135</v>
      </c>
      <c r="C760" s="64">
        <v>120000</v>
      </c>
      <c r="D760" s="64">
        <v>60000</v>
      </c>
      <c r="E760" s="88">
        <f t="shared" si="18"/>
        <v>60000</v>
      </c>
      <c r="F760" s="64">
        <v>120000</v>
      </c>
      <c r="G760" s="64">
        <v>120000</v>
      </c>
      <c r="H760" s="133"/>
    </row>
    <row r="761" spans="1:8" ht="12.75">
      <c r="A761" s="41" t="s">
        <v>45</v>
      </c>
      <c r="B761" s="63" t="s">
        <v>136</v>
      </c>
      <c r="C761" s="64">
        <v>24000</v>
      </c>
      <c r="D761" s="152">
        <v>12000</v>
      </c>
      <c r="E761" s="88">
        <f t="shared" si="18"/>
        <v>12000</v>
      </c>
      <c r="F761" s="64">
        <v>24000</v>
      </c>
      <c r="G761" s="64">
        <v>24000</v>
      </c>
      <c r="H761" s="133"/>
    </row>
    <row r="762" spans="1:8" ht="12.75">
      <c r="A762" s="29" t="s">
        <v>81</v>
      </c>
      <c r="B762" s="62" t="s">
        <v>137</v>
      </c>
      <c r="C762" s="64">
        <v>15000</v>
      </c>
      <c r="D762" s="152">
        <v>0</v>
      </c>
      <c r="E762" s="88">
        <f t="shared" si="18"/>
        <v>15000</v>
      </c>
      <c r="F762" s="64">
        <v>15000</v>
      </c>
      <c r="G762" s="64">
        <v>15000</v>
      </c>
      <c r="H762" s="133"/>
    </row>
    <row r="763" spans="1:8" ht="12.75">
      <c r="A763" s="29" t="s">
        <v>251</v>
      </c>
      <c r="B763" s="62" t="s">
        <v>252</v>
      </c>
      <c r="C763" s="283"/>
      <c r="D763" s="152">
        <v>357000</v>
      </c>
      <c r="E763" s="152">
        <f t="shared" si="18"/>
        <v>567000</v>
      </c>
      <c r="F763" s="283">
        <v>924000</v>
      </c>
      <c r="G763" s="283">
        <v>924000</v>
      </c>
      <c r="H763" s="133"/>
    </row>
    <row r="764" spans="1:11" ht="12.75">
      <c r="A764" s="29" t="s">
        <v>253</v>
      </c>
      <c r="B764" s="62" t="s">
        <v>254</v>
      </c>
      <c r="C764" s="283">
        <v>1692000</v>
      </c>
      <c r="D764" s="152">
        <v>345500</v>
      </c>
      <c r="E764" s="152">
        <f t="shared" si="18"/>
        <v>677500</v>
      </c>
      <c r="F764" s="283">
        <f>756000+12000+255000</f>
        <v>1023000</v>
      </c>
      <c r="G764" s="283">
        <f>756000+12000+255000</f>
        <v>1023000</v>
      </c>
      <c r="H764" s="133"/>
      <c r="J764" s="14"/>
      <c r="K764" s="14"/>
    </row>
    <row r="765" spans="1:8" ht="12.75">
      <c r="A765" s="29" t="s">
        <v>146</v>
      </c>
      <c r="B765" s="62" t="s">
        <v>147</v>
      </c>
      <c r="C765" s="110">
        <v>20000</v>
      </c>
      <c r="D765" s="152">
        <v>0</v>
      </c>
      <c r="E765" s="88">
        <f t="shared" si="18"/>
        <v>20000</v>
      </c>
      <c r="F765" s="110">
        <v>20000</v>
      </c>
      <c r="G765" s="110">
        <v>20000</v>
      </c>
      <c r="H765" s="133"/>
    </row>
    <row r="766" spans="1:8" ht="12.75">
      <c r="A766" s="131" t="s">
        <v>148</v>
      </c>
      <c r="B766" s="190" t="s">
        <v>149</v>
      </c>
      <c r="C766" s="64">
        <v>0</v>
      </c>
      <c r="D766" s="64">
        <v>0</v>
      </c>
      <c r="E766" s="88">
        <f t="shared" si="18"/>
        <v>0</v>
      </c>
      <c r="F766" s="64">
        <v>0</v>
      </c>
      <c r="G766" s="64">
        <v>300000</v>
      </c>
      <c r="H766" s="16"/>
    </row>
    <row r="767" spans="1:11" ht="12.75">
      <c r="A767" s="29" t="s">
        <v>5</v>
      </c>
      <c r="B767" s="62" t="s">
        <v>138</v>
      </c>
      <c r="C767" s="64">
        <v>5000</v>
      </c>
      <c r="D767" s="152">
        <v>0</v>
      </c>
      <c r="E767" s="88">
        <f t="shared" si="18"/>
        <v>0</v>
      </c>
      <c r="F767" s="64">
        <v>0</v>
      </c>
      <c r="G767" s="64">
        <v>0</v>
      </c>
      <c r="H767" s="16"/>
      <c r="J767" s="14"/>
      <c r="K767" s="14"/>
    </row>
    <row r="768" spans="1:8" ht="12.75">
      <c r="A768" s="29" t="s">
        <v>66</v>
      </c>
      <c r="B768" s="34" t="s">
        <v>139</v>
      </c>
      <c r="C768" s="64">
        <v>20000</v>
      </c>
      <c r="D768" s="152">
        <v>0</v>
      </c>
      <c r="E768" s="88">
        <f t="shared" si="18"/>
        <v>0</v>
      </c>
      <c r="F768" s="64">
        <v>0</v>
      </c>
      <c r="G768" s="64">
        <v>0</v>
      </c>
      <c r="H768" s="16"/>
    </row>
    <row r="769" spans="1:9" ht="12.75">
      <c r="A769" s="29" t="s">
        <v>270</v>
      </c>
      <c r="B769" s="62" t="s">
        <v>271</v>
      </c>
      <c r="C769" s="88">
        <v>80000</v>
      </c>
      <c r="D769" s="191">
        <v>193600</v>
      </c>
      <c r="E769" s="88">
        <f t="shared" si="18"/>
        <v>11400</v>
      </c>
      <c r="F769" s="88">
        <f>80000+25000+100000</f>
        <v>205000</v>
      </c>
      <c r="G769" s="88">
        <f>80000+25000+100000</f>
        <v>205000</v>
      </c>
      <c r="H769" s="2"/>
      <c r="I769" s="14"/>
    </row>
    <row r="770" spans="1:13" ht="12.75">
      <c r="A770" s="41" t="s">
        <v>58</v>
      </c>
      <c r="B770" s="63" t="s">
        <v>153</v>
      </c>
      <c r="C770" s="88">
        <v>0</v>
      </c>
      <c r="D770" s="64"/>
      <c r="E770" s="88">
        <f t="shared" si="18"/>
        <v>0</v>
      </c>
      <c r="F770" s="88">
        <v>0</v>
      </c>
      <c r="G770" s="88">
        <v>0</v>
      </c>
      <c r="H770" s="59"/>
      <c r="L770" s="14"/>
      <c r="M770" s="14"/>
    </row>
    <row r="771" spans="1:11" ht="12.75">
      <c r="A771" s="43" t="s">
        <v>192</v>
      </c>
      <c r="B771" s="5"/>
      <c r="C771" s="140">
        <f>SUM(C753:C770)</f>
        <v>2300916.74</v>
      </c>
      <c r="D771" s="8">
        <f>SUM(D753:D770)</f>
        <v>1058006.3</v>
      </c>
      <c r="E771" s="8">
        <f>SUM(E753:E770)</f>
        <v>1597993.7</v>
      </c>
      <c r="F771" s="8">
        <f>SUM(F753:F770)</f>
        <v>2656000</v>
      </c>
      <c r="G771" s="8">
        <f>SUM(G753:G770)</f>
        <v>3456000</v>
      </c>
      <c r="H771" s="59"/>
      <c r="J771" s="14"/>
      <c r="K771" s="14"/>
    </row>
    <row r="772" spans="1:8" ht="6.75" customHeight="1">
      <c r="A772" s="18"/>
      <c r="B772" s="5"/>
      <c r="C772" s="140"/>
      <c r="D772" s="8"/>
      <c r="E772" s="8"/>
      <c r="F772" s="8"/>
      <c r="G772" s="8"/>
      <c r="H772" s="59"/>
    </row>
    <row r="773" spans="1:12" ht="12.75">
      <c r="A773" s="43" t="s">
        <v>44</v>
      </c>
      <c r="B773" s="5"/>
      <c r="C773" s="77"/>
      <c r="D773" s="64"/>
      <c r="E773" s="64"/>
      <c r="F773" s="64"/>
      <c r="G773" s="64"/>
      <c r="H773" s="16"/>
      <c r="L773" s="14"/>
    </row>
    <row r="774" spans="1:8" ht="12.75">
      <c r="A774" s="29" t="s">
        <v>92</v>
      </c>
      <c r="B774" s="39" t="s">
        <v>157</v>
      </c>
      <c r="C774" s="139">
        <v>57990</v>
      </c>
      <c r="D774" s="152">
        <v>39900</v>
      </c>
      <c r="E774" s="88">
        <f>F774-D774</f>
        <v>100</v>
      </c>
      <c r="F774" s="6">
        <v>40000</v>
      </c>
      <c r="G774" s="6">
        <v>100000</v>
      </c>
      <c r="H774" s="59"/>
    </row>
    <row r="775" spans="1:13" ht="12.75">
      <c r="A775" s="29" t="s">
        <v>211</v>
      </c>
      <c r="B775" s="39" t="s">
        <v>156</v>
      </c>
      <c r="C775" s="6">
        <v>0</v>
      </c>
      <c r="D775" s="152">
        <v>0</v>
      </c>
      <c r="E775" s="88">
        <f>F775-D775</f>
        <v>0</v>
      </c>
      <c r="F775" s="6">
        <v>0</v>
      </c>
      <c r="G775" s="6">
        <v>0</v>
      </c>
      <c r="H775" s="16"/>
      <c r="M775" s="14"/>
    </row>
    <row r="776" spans="1:8" ht="12.75">
      <c r="A776" s="29" t="s">
        <v>345</v>
      </c>
      <c r="B776" s="39" t="s">
        <v>158</v>
      </c>
      <c r="C776" s="6">
        <v>0</v>
      </c>
      <c r="D776" s="6">
        <v>0</v>
      </c>
      <c r="E776" s="88">
        <f>F776-D776</f>
        <v>0</v>
      </c>
      <c r="F776" s="6">
        <v>0</v>
      </c>
      <c r="G776" s="6">
        <v>0</v>
      </c>
      <c r="H776" s="2"/>
    </row>
    <row r="777" spans="1:12" ht="12.75">
      <c r="A777" s="43" t="s">
        <v>77</v>
      </c>
      <c r="B777" s="5"/>
      <c r="C777" s="140">
        <f>SUM(C774:C776)</f>
        <v>57990</v>
      </c>
      <c r="D777" s="8">
        <f>SUM(D774:D776)</f>
        <v>39900</v>
      </c>
      <c r="E777" s="8">
        <f>SUM(E774:E776)</f>
        <v>100</v>
      </c>
      <c r="F777" s="8">
        <f>SUM(F774:F776)</f>
        <v>40000</v>
      </c>
      <c r="G777" s="8">
        <f>SUM(G774:G776)</f>
        <v>100000</v>
      </c>
      <c r="H777" s="2"/>
      <c r="L777" s="14"/>
    </row>
    <row r="778" spans="1:8" ht="5.25" customHeight="1">
      <c r="A778" s="5"/>
      <c r="B778" s="5"/>
      <c r="C778" s="6"/>
      <c r="D778" s="6"/>
      <c r="E778" s="6"/>
      <c r="F778" s="6"/>
      <c r="G778" s="6"/>
      <c r="H778" s="2"/>
    </row>
    <row r="779" spans="1:8" ht="12.75">
      <c r="A779" s="7" t="s">
        <v>34</v>
      </c>
      <c r="B779" s="7"/>
      <c r="C779" s="6">
        <f>C738+C771+C777</f>
        <v>4573194.53</v>
      </c>
      <c r="D779" s="8">
        <f>D738+D771+D777</f>
        <v>2270315.0700000003</v>
      </c>
      <c r="E779" s="8">
        <f>E738+E771+E777</f>
        <v>3657588.08</v>
      </c>
      <c r="F779" s="8">
        <f>F738+F771+F777</f>
        <v>5927903.15</v>
      </c>
      <c r="G779" s="8">
        <f>G738+G771+G777</f>
        <v>5829085.470000001</v>
      </c>
      <c r="H779" s="59"/>
    </row>
    <row r="780" spans="1:8" ht="8.25" customHeight="1">
      <c r="A780" s="4"/>
      <c r="B780" s="4"/>
      <c r="C780" s="10"/>
      <c r="D780" s="155"/>
      <c r="E780" s="155"/>
      <c r="F780" s="117"/>
      <c r="G780" s="4"/>
      <c r="H780" s="2"/>
    </row>
    <row r="781" spans="1:8" ht="12.75">
      <c r="A781" s="2"/>
      <c r="B781" s="2"/>
      <c r="C781" s="2"/>
      <c r="D781" s="2"/>
      <c r="E781" s="2"/>
      <c r="F781" s="2"/>
      <c r="G781" s="59"/>
      <c r="H781" s="2"/>
    </row>
    <row r="782" spans="1:8" ht="12.75">
      <c r="A782" s="2" t="s">
        <v>185</v>
      </c>
      <c r="B782" s="2" t="s">
        <v>186</v>
      </c>
      <c r="C782" s="2"/>
      <c r="D782" s="2"/>
      <c r="E782" s="161" t="s">
        <v>170</v>
      </c>
      <c r="F782" s="2"/>
      <c r="G782" s="59"/>
      <c r="H782" s="2"/>
    </row>
    <row r="783" spans="1:8" ht="12.75">
      <c r="A783" s="2"/>
      <c r="B783" s="2"/>
      <c r="C783" s="2"/>
      <c r="D783" s="2"/>
      <c r="E783" s="161"/>
      <c r="F783" s="2"/>
      <c r="G783" s="2"/>
      <c r="H783" s="2"/>
    </row>
    <row r="784" spans="1:8" ht="12.75">
      <c r="A784" s="2"/>
      <c r="B784" s="22"/>
      <c r="C784" s="22"/>
      <c r="D784" s="22"/>
      <c r="E784" s="162"/>
      <c r="F784" s="22"/>
      <c r="G784" s="2"/>
      <c r="H784" s="2"/>
    </row>
    <row r="785" spans="1:8" ht="15">
      <c r="A785" s="22" t="s">
        <v>378</v>
      </c>
      <c r="B785" s="22" t="s">
        <v>277</v>
      </c>
      <c r="C785" s="22"/>
      <c r="D785" s="22"/>
      <c r="E785" s="162" t="s">
        <v>161</v>
      </c>
      <c r="F785" s="22"/>
      <c r="G785" s="2"/>
      <c r="H785" s="53"/>
    </row>
    <row r="786" spans="1:8" ht="12.75">
      <c r="A786" s="2" t="s">
        <v>37</v>
      </c>
      <c r="B786" s="2" t="s">
        <v>373</v>
      </c>
      <c r="C786" s="2"/>
      <c r="D786" s="2"/>
      <c r="E786" s="161" t="s">
        <v>25</v>
      </c>
      <c r="F786" s="2"/>
      <c r="G786" s="2"/>
      <c r="H786" s="54"/>
    </row>
    <row r="787" spans="1:8" ht="12.75">
      <c r="A787" s="19" t="s">
        <v>208</v>
      </c>
      <c r="B787" s="2"/>
      <c r="C787" s="2"/>
      <c r="D787" s="2"/>
      <c r="E787" s="2"/>
      <c r="F787" s="2"/>
      <c r="G787" s="2"/>
      <c r="H787" s="2"/>
    </row>
    <row r="788" spans="1:8" ht="12.75">
      <c r="A788" s="19"/>
      <c r="B788" s="2"/>
      <c r="C788" s="2"/>
      <c r="D788" s="2"/>
      <c r="E788" s="2"/>
      <c r="F788" s="2"/>
      <c r="G788" s="2"/>
      <c r="H788" s="2"/>
    </row>
    <row r="789" spans="1:8" ht="15">
      <c r="A789" s="474" t="s">
        <v>165</v>
      </c>
      <c r="B789" s="474"/>
      <c r="C789" s="474"/>
      <c r="D789" s="474"/>
      <c r="E789" s="474"/>
      <c r="F789" s="474"/>
      <c r="G789" s="474"/>
      <c r="H789" s="2"/>
    </row>
    <row r="790" spans="1:8" ht="15">
      <c r="A790" s="474" t="s">
        <v>172</v>
      </c>
      <c r="B790" s="474"/>
      <c r="C790" s="474"/>
      <c r="D790" s="474"/>
      <c r="E790" s="474"/>
      <c r="F790" s="474"/>
      <c r="G790" s="474"/>
      <c r="H790" s="2"/>
    </row>
    <row r="791" spans="1:8" ht="12.75">
      <c r="A791" s="54"/>
      <c r="B791" s="54"/>
      <c r="C791" s="54"/>
      <c r="D791" s="54"/>
      <c r="E791" s="54"/>
      <c r="F791" s="54"/>
      <c r="G791" s="54"/>
      <c r="H791" s="154"/>
    </row>
    <row r="792" spans="1:8" ht="12.75">
      <c r="A792" s="54"/>
      <c r="B792" s="54"/>
      <c r="C792" s="54"/>
      <c r="D792" s="54"/>
      <c r="E792" s="54"/>
      <c r="F792" s="54"/>
      <c r="G792" s="54"/>
      <c r="H792" s="154"/>
    </row>
    <row r="793" spans="1:8" ht="12.75">
      <c r="A793" s="21" t="s">
        <v>52</v>
      </c>
      <c r="B793" s="21" t="s">
        <v>38</v>
      </c>
      <c r="C793" s="21"/>
      <c r="D793" s="21"/>
      <c r="E793" s="21"/>
      <c r="F793" s="2"/>
      <c r="G793" s="2"/>
      <c r="H793" s="163"/>
    </row>
    <row r="794" spans="1:8" ht="12.75">
      <c r="A794" s="2"/>
      <c r="B794" s="2"/>
      <c r="C794" s="2"/>
      <c r="D794" s="2"/>
      <c r="E794" s="2"/>
      <c r="F794" s="2"/>
      <c r="G794" s="2"/>
      <c r="H794" s="2"/>
    </row>
    <row r="795" spans="1:8" ht="12.75">
      <c r="A795" s="23"/>
      <c r="B795" s="23"/>
      <c r="C795" s="475" t="s">
        <v>79</v>
      </c>
      <c r="D795" s="479" t="s">
        <v>166</v>
      </c>
      <c r="E795" s="480"/>
      <c r="F795" s="481"/>
      <c r="G795" s="482" t="s">
        <v>73</v>
      </c>
      <c r="H795" s="2"/>
    </row>
    <row r="796" spans="1:8" ht="12.75">
      <c r="A796" s="24" t="s">
        <v>167</v>
      </c>
      <c r="B796" s="304" t="s">
        <v>241</v>
      </c>
      <c r="C796" s="476"/>
      <c r="D796" s="24" t="s">
        <v>168</v>
      </c>
      <c r="E796" s="24" t="s">
        <v>169</v>
      </c>
      <c r="F796" s="477" t="s">
        <v>23</v>
      </c>
      <c r="G796" s="483"/>
      <c r="H796" s="2"/>
    </row>
    <row r="797" spans="1:8" ht="12.75">
      <c r="A797" s="24"/>
      <c r="B797" s="24"/>
      <c r="C797" s="24" t="s">
        <v>53</v>
      </c>
      <c r="D797" s="24" t="s">
        <v>53</v>
      </c>
      <c r="E797" s="156" t="s">
        <v>86</v>
      </c>
      <c r="F797" s="478"/>
      <c r="G797" s="3" t="s">
        <v>54</v>
      </c>
      <c r="H797" s="2"/>
    </row>
    <row r="798" spans="1:8" ht="12.75">
      <c r="A798" s="46">
        <v>1</v>
      </c>
      <c r="B798" s="46">
        <v>2</v>
      </c>
      <c r="C798" s="46">
        <v>3</v>
      </c>
      <c r="D798" s="90">
        <v>4</v>
      </c>
      <c r="E798" s="90">
        <v>5</v>
      </c>
      <c r="F798" s="90">
        <v>6</v>
      </c>
      <c r="G798" s="91">
        <v>7</v>
      </c>
      <c r="H798" s="59"/>
    </row>
    <row r="799" spans="1:8" ht="12.75">
      <c r="A799" s="5"/>
      <c r="B799" s="5"/>
      <c r="C799" s="5"/>
      <c r="D799" s="116"/>
      <c r="E799" s="116"/>
      <c r="F799" s="116"/>
      <c r="G799" s="5"/>
      <c r="H799" s="59"/>
    </row>
    <row r="800" spans="1:8" ht="15">
      <c r="A800" s="42" t="s">
        <v>43</v>
      </c>
      <c r="B800" s="72"/>
      <c r="C800" s="5"/>
      <c r="D800" s="116"/>
      <c r="E800" s="116"/>
      <c r="F800" s="116"/>
      <c r="G800" s="92"/>
      <c r="H800" s="59"/>
    </row>
    <row r="801" spans="1:8" ht="12.75">
      <c r="A801" s="41" t="s">
        <v>223</v>
      </c>
      <c r="B801" s="157" t="s">
        <v>113</v>
      </c>
      <c r="C801" s="123">
        <v>8891007.69</v>
      </c>
      <c r="D801" s="191">
        <v>4448601.32</v>
      </c>
      <c r="E801" s="88">
        <f aca="true" t="shared" si="19" ref="E801:E814">F801-D801</f>
        <v>4791218.68</v>
      </c>
      <c r="F801" s="123">
        <v>9239820</v>
      </c>
      <c r="G801" s="123">
        <v>9323928</v>
      </c>
      <c r="H801" s="59"/>
    </row>
    <row r="802" spans="1:8" ht="12.75">
      <c r="A802" s="29" t="s">
        <v>100</v>
      </c>
      <c r="B802" s="157" t="s">
        <v>114</v>
      </c>
      <c r="C802" s="123">
        <v>240000</v>
      </c>
      <c r="D802" s="191">
        <v>118000</v>
      </c>
      <c r="E802" s="88">
        <f t="shared" si="19"/>
        <v>122000</v>
      </c>
      <c r="F802" s="123">
        <v>240000</v>
      </c>
      <c r="G802" s="123">
        <v>240000</v>
      </c>
      <c r="H802" s="59"/>
    </row>
    <row r="803" spans="1:8" ht="12.75">
      <c r="A803" s="41" t="s">
        <v>42</v>
      </c>
      <c r="B803" s="157" t="s">
        <v>115</v>
      </c>
      <c r="C803" s="123">
        <v>759475</v>
      </c>
      <c r="D803" s="191">
        <v>364968.75</v>
      </c>
      <c r="E803" s="88">
        <f t="shared" si="19"/>
        <v>400031.25</v>
      </c>
      <c r="F803" s="123">
        <v>765000</v>
      </c>
      <c r="G803" s="123">
        <v>765000</v>
      </c>
      <c r="H803" s="59"/>
    </row>
    <row r="804" spans="1:8" ht="12.75">
      <c r="A804" s="41" t="s">
        <v>3</v>
      </c>
      <c r="B804" s="62" t="s">
        <v>159</v>
      </c>
      <c r="C804" s="123">
        <v>759475</v>
      </c>
      <c r="D804" s="191">
        <v>364968.75</v>
      </c>
      <c r="E804" s="88">
        <f t="shared" si="19"/>
        <v>400031.25</v>
      </c>
      <c r="F804" s="123">
        <v>765000</v>
      </c>
      <c r="G804" s="123">
        <v>765000</v>
      </c>
      <c r="H804" s="59"/>
    </row>
    <row r="805" spans="1:8" ht="12.75">
      <c r="A805" s="41" t="s">
        <v>190</v>
      </c>
      <c r="B805" s="157" t="s">
        <v>116</v>
      </c>
      <c r="C805" s="123">
        <v>60000</v>
      </c>
      <c r="D805" s="191">
        <v>60000</v>
      </c>
      <c r="E805" s="88">
        <f t="shared" si="19"/>
        <v>0</v>
      </c>
      <c r="F805" s="123">
        <v>60000</v>
      </c>
      <c r="G805" s="123">
        <v>60000</v>
      </c>
      <c r="H805" s="59"/>
    </row>
    <row r="806" spans="1:8" ht="12.75">
      <c r="A806" s="41" t="s">
        <v>175</v>
      </c>
      <c r="B806" s="157" t="s">
        <v>176</v>
      </c>
      <c r="C806" s="145">
        <v>50000</v>
      </c>
      <c r="D806" s="191">
        <v>0</v>
      </c>
      <c r="E806" s="88">
        <f t="shared" si="19"/>
        <v>50000</v>
      </c>
      <c r="F806" s="145">
        <v>50000</v>
      </c>
      <c r="G806" s="145">
        <v>50000</v>
      </c>
      <c r="H806" s="59"/>
    </row>
    <row r="807" spans="1:8" ht="12.75">
      <c r="A807" s="41" t="s">
        <v>27</v>
      </c>
      <c r="B807" s="157" t="s">
        <v>117</v>
      </c>
      <c r="C807" s="123">
        <v>50000</v>
      </c>
      <c r="D807" s="191">
        <v>0</v>
      </c>
      <c r="E807" s="88">
        <f t="shared" si="19"/>
        <v>50000</v>
      </c>
      <c r="F807" s="123">
        <v>50000</v>
      </c>
      <c r="G807" s="123">
        <v>50000</v>
      </c>
      <c r="H807" s="59"/>
    </row>
    <row r="808" spans="1:8" ht="12.75">
      <c r="A808" s="41" t="s">
        <v>96</v>
      </c>
      <c r="B808" s="157" t="s">
        <v>118</v>
      </c>
      <c r="C808" s="123">
        <v>744548</v>
      </c>
      <c r="D808" s="191">
        <v>0</v>
      </c>
      <c r="E808" s="88">
        <f t="shared" si="19"/>
        <v>769985</v>
      </c>
      <c r="F808" s="123">
        <f>F801/12</f>
        <v>769985</v>
      </c>
      <c r="G808" s="123">
        <f>G801/12</f>
        <v>776994</v>
      </c>
      <c r="H808" s="59"/>
    </row>
    <row r="809" spans="1:8" ht="12.75">
      <c r="A809" s="41" t="s">
        <v>173</v>
      </c>
      <c r="B809" s="157" t="s">
        <v>174</v>
      </c>
      <c r="C809" s="123">
        <v>744548</v>
      </c>
      <c r="D809" s="64">
        <v>758867</v>
      </c>
      <c r="E809" s="88">
        <f t="shared" si="19"/>
        <v>11118</v>
      </c>
      <c r="F809" s="123">
        <f>F801/12</f>
        <v>769985</v>
      </c>
      <c r="G809" s="123">
        <f>G801/12</f>
        <v>776994</v>
      </c>
      <c r="H809" s="59"/>
    </row>
    <row r="810" spans="1:9" ht="12.75">
      <c r="A810" s="41" t="s">
        <v>232</v>
      </c>
      <c r="B810" s="157" t="s">
        <v>119</v>
      </c>
      <c r="C810" s="123">
        <v>965976.48</v>
      </c>
      <c r="D810" s="191">
        <v>483111.96</v>
      </c>
      <c r="E810" s="88">
        <f t="shared" si="19"/>
        <v>625666.44</v>
      </c>
      <c r="F810" s="123">
        <f>F801*12%</f>
        <v>1108778.4</v>
      </c>
      <c r="G810" s="123">
        <v>1118871.36</v>
      </c>
      <c r="H810" s="59"/>
      <c r="I810" s="14"/>
    </row>
    <row r="811" spans="1:9" ht="12.75">
      <c r="A811" s="41" t="s">
        <v>28</v>
      </c>
      <c r="B811" s="157" t="s">
        <v>120</v>
      </c>
      <c r="C811" s="123">
        <v>12000</v>
      </c>
      <c r="D811" s="191">
        <v>5900</v>
      </c>
      <c r="E811" s="88">
        <f t="shared" si="19"/>
        <v>6100</v>
      </c>
      <c r="F811" s="123">
        <v>12000</v>
      </c>
      <c r="G811" s="123">
        <v>12000</v>
      </c>
      <c r="H811" s="59"/>
      <c r="I811" s="14"/>
    </row>
    <row r="812" spans="1:9" ht="12.75">
      <c r="A812" s="41" t="s">
        <v>69</v>
      </c>
      <c r="B812" s="157" t="s">
        <v>121</v>
      </c>
      <c r="C812" s="123">
        <v>86400</v>
      </c>
      <c r="D812" s="191">
        <v>47221.92</v>
      </c>
      <c r="E812" s="88">
        <f t="shared" si="19"/>
        <v>137574.47999999998</v>
      </c>
      <c r="F812" s="123">
        <v>184796.4</v>
      </c>
      <c r="G812" s="123">
        <v>209788.38</v>
      </c>
      <c r="H812" s="59"/>
      <c r="I812" s="14"/>
    </row>
    <row r="813" spans="1:8" ht="12.75">
      <c r="A813" s="29" t="s">
        <v>122</v>
      </c>
      <c r="B813" s="157" t="s">
        <v>123</v>
      </c>
      <c r="C813" s="123">
        <v>10800</v>
      </c>
      <c r="D813" s="191">
        <v>5300</v>
      </c>
      <c r="E813" s="88">
        <f t="shared" si="19"/>
        <v>6700</v>
      </c>
      <c r="F813" s="123">
        <v>12000</v>
      </c>
      <c r="G813" s="123">
        <v>12000</v>
      </c>
      <c r="H813" s="2"/>
    </row>
    <row r="814" spans="1:11" ht="12.75">
      <c r="A814" s="41" t="s">
        <v>68</v>
      </c>
      <c r="B814" s="157" t="s">
        <v>124</v>
      </c>
      <c r="C814" s="123"/>
      <c r="D814" s="191">
        <v>0</v>
      </c>
      <c r="E814" s="88">
        <f t="shared" si="19"/>
        <v>4393191.44</v>
      </c>
      <c r="F814" s="139">
        <v>4393191.44</v>
      </c>
      <c r="G814" s="139">
        <v>0</v>
      </c>
      <c r="H814" s="16"/>
      <c r="I814" s="14"/>
      <c r="J814" s="14"/>
      <c r="K814" s="14"/>
    </row>
    <row r="815" spans="1:8" ht="12.75">
      <c r="A815" s="41" t="s">
        <v>99</v>
      </c>
      <c r="B815" s="157" t="s">
        <v>125</v>
      </c>
      <c r="C815" s="285">
        <v>296106.19</v>
      </c>
      <c r="D815" s="191">
        <v>146647.97</v>
      </c>
      <c r="E815" s="280">
        <f>F815-D815</f>
        <v>224428.59</v>
      </c>
      <c r="F815" s="285">
        <v>371076.56</v>
      </c>
      <c r="G815" s="60">
        <v>374454.39</v>
      </c>
      <c r="H815" s="59"/>
    </row>
    <row r="816" spans="1:8" ht="12.75">
      <c r="A816" s="5"/>
      <c r="B816" s="5"/>
      <c r="C816" s="76"/>
      <c r="D816" s="76"/>
      <c r="E816" s="76"/>
      <c r="F816" s="76"/>
      <c r="G816" s="314"/>
      <c r="H816" s="59"/>
    </row>
    <row r="817" spans="1:9" ht="12.75">
      <c r="A817" s="18" t="s">
        <v>193</v>
      </c>
      <c r="B817" s="42"/>
      <c r="C817" s="8">
        <f>SUM(C801:C816)</f>
        <v>13670336.36</v>
      </c>
      <c r="D817" s="8">
        <f>SUM(D801:D816)</f>
        <v>6803587.67</v>
      </c>
      <c r="E817" s="8">
        <f>SUM(E801:E816)</f>
        <v>11988045.129999999</v>
      </c>
      <c r="F817" s="8">
        <f>SUM(F801:F816)</f>
        <v>18791632.8</v>
      </c>
      <c r="G817" s="284">
        <f>SUM(G801:G816)</f>
        <v>14535030.13</v>
      </c>
      <c r="H817" s="59"/>
      <c r="I817" s="14"/>
    </row>
    <row r="818" spans="1:8" ht="12.75">
      <c r="A818" s="5"/>
      <c r="B818" s="33"/>
      <c r="C818" s="6"/>
      <c r="D818" s="6"/>
      <c r="E818" s="6"/>
      <c r="F818" s="6"/>
      <c r="G818" s="6"/>
      <c r="H818" s="59"/>
    </row>
    <row r="819" spans="1:8" ht="12.75">
      <c r="A819" s="5"/>
      <c r="B819" s="33"/>
      <c r="C819" s="6"/>
      <c r="D819" s="6"/>
      <c r="E819" s="6"/>
      <c r="F819" s="6"/>
      <c r="G819" s="6"/>
      <c r="H819" s="59"/>
    </row>
    <row r="820" spans="1:8" ht="12.75">
      <c r="A820" s="179"/>
      <c r="B820" s="182"/>
      <c r="C820" s="183"/>
      <c r="D820" s="183"/>
      <c r="E820" s="183"/>
      <c r="F820" s="183"/>
      <c r="G820" s="183"/>
      <c r="H820" s="59"/>
    </row>
    <row r="821" spans="1:8" ht="12.75">
      <c r="A821" s="2"/>
      <c r="B821" s="36"/>
      <c r="C821" s="59"/>
      <c r="D821" s="59"/>
      <c r="E821" s="59"/>
      <c r="F821" s="59"/>
      <c r="G821" s="59"/>
      <c r="H821" s="59"/>
    </row>
    <row r="822" spans="1:8" ht="12.75">
      <c r="A822" s="2"/>
      <c r="B822" s="36"/>
      <c r="C822" s="59"/>
      <c r="D822" s="59"/>
      <c r="E822" s="59"/>
      <c r="F822" s="59"/>
      <c r="G822" s="59"/>
      <c r="H822" s="59"/>
    </row>
    <row r="823" spans="1:8" ht="12.75">
      <c r="A823" s="2"/>
      <c r="B823" s="36"/>
      <c r="C823" s="59"/>
      <c r="D823" s="59"/>
      <c r="E823" s="59"/>
      <c r="F823" s="59"/>
      <c r="G823" s="59"/>
      <c r="H823" s="59"/>
    </row>
    <row r="824" spans="1:8" ht="12.75">
      <c r="A824" s="2"/>
      <c r="B824" s="36"/>
      <c r="C824" s="59"/>
      <c r="D824" s="59"/>
      <c r="E824" s="59"/>
      <c r="F824" s="59"/>
      <c r="G824" s="59"/>
      <c r="H824" s="59"/>
    </row>
    <row r="825" spans="1:8" ht="12.75">
      <c r="A825" s="23"/>
      <c r="B825" s="23"/>
      <c r="C825" s="475" t="s">
        <v>79</v>
      </c>
      <c r="D825" s="479" t="s">
        <v>166</v>
      </c>
      <c r="E825" s="480"/>
      <c r="F825" s="481"/>
      <c r="G825" s="482" t="s">
        <v>73</v>
      </c>
      <c r="H825" s="59"/>
    </row>
    <row r="826" spans="1:8" ht="12.75">
      <c r="A826" s="24" t="s">
        <v>167</v>
      </c>
      <c r="B826" s="304" t="s">
        <v>241</v>
      </c>
      <c r="C826" s="476"/>
      <c r="D826" s="24" t="s">
        <v>168</v>
      </c>
      <c r="E826" s="24" t="s">
        <v>169</v>
      </c>
      <c r="F826" s="477" t="s">
        <v>23</v>
      </c>
      <c r="G826" s="483"/>
      <c r="H826" s="59"/>
    </row>
    <row r="827" spans="1:8" ht="12.75">
      <c r="A827" s="24"/>
      <c r="B827" s="24"/>
      <c r="C827" s="24" t="s">
        <v>53</v>
      </c>
      <c r="D827" s="24" t="s">
        <v>53</v>
      </c>
      <c r="E827" s="156" t="s">
        <v>86</v>
      </c>
      <c r="F827" s="478"/>
      <c r="G827" s="3" t="s">
        <v>54</v>
      </c>
      <c r="H827" s="59"/>
    </row>
    <row r="828" spans="1:8" ht="12.75">
      <c r="A828" s="46">
        <v>1</v>
      </c>
      <c r="B828" s="46">
        <v>2</v>
      </c>
      <c r="C828" s="46">
        <v>3</v>
      </c>
      <c r="D828" s="90">
        <v>4</v>
      </c>
      <c r="E828" s="90">
        <v>5</v>
      </c>
      <c r="F828" s="90">
        <v>6</v>
      </c>
      <c r="G828" s="91">
        <v>7</v>
      </c>
      <c r="H828" s="59"/>
    </row>
    <row r="829" spans="1:8" ht="12.75">
      <c r="A829" s="5"/>
      <c r="B829" s="33"/>
      <c r="C829" s="6"/>
      <c r="D829" s="6"/>
      <c r="E829" s="6"/>
      <c r="F829" s="6"/>
      <c r="G829" s="6"/>
      <c r="H829" s="59"/>
    </row>
    <row r="830" spans="1:8" ht="12.75">
      <c r="A830" s="43" t="s">
        <v>178</v>
      </c>
      <c r="B830" s="33"/>
      <c r="C830" s="5"/>
      <c r="D830" s="5"/>
      <c r="E830" s="5"/>
      <c r="F830" s="5"/>
      <c r="G830" s="5"/>
      <c r="H830" s="59"/>
    </row>
    <row r="831" spans="1:8" ht="12.75">
      <c r="A831" s="29" t="s">
        <v>191</v>
      </c>
      <c r="B831" s="62" t="s">
        <v>126</v>
      </c>
      <c r="C831" s="110">
        <v>700000</v>
      </c>
      <c r="D831" s="49">
        <v>333558</v>
      </c>
      <c r="E831" s="88">
        <f aca="true" t="shared" si="20" ref="E831:E843">F831-D831</f>
        <v>366442</v>
      </c>
      <c r="F831" s="110">
        <v>700000</v>
      </c>
      <c r="G831" s="110">
        <v>700000</v>
      </c>
      <c r="H831" s="59"/>
    </row>
    <row r="832" spans="1:13" ht="12.75">
      <c r="A832" s="41" t="s">
        <v>226</v>
      </c>
      <c r="B832" s="62" t="s">
        <v>127</v>
      </c>
      <c r="C832" s="110">
        <v>200000</v>
      </c>
      <c r="D832" s="49">
        <v>100000</v>
      </c>
      <c r="E832" s="88">
        <f t="shared" si="20"/>
        <v>100000</v>
      </c>
      <c r="F832" s="110">
        <v>200000</v>
      </c>
      <c r="G832" s="110">
        <v>200000</v>
      </c>
      <c r="H832" s="59"/>
      <c r="J832" s="14"/>
      <c r="K832" s="14"/>
      <c r="M832" s="14"/>
    </row>
    <row r="833" spans="1:13" ht="12.75">
      <c r="A833" s="41" t="s">
        <v>2</v>
      </c>
      <c r="B833" s="62" t="s">
        <v>128</v>
      </c>
      <c r="C833" s="110">
        <v>39359</v>
      </c>
      <c r="D833" s="49">
        <v>12998.7</v>
      </c>
      <c r="E833" s="88">
        <f t="shared" si="20"/>
        <v>27001.3</v>
      </c>
      <c r="F833" s="110">
        <v>40000</v>
      </c>
      <c r="G833" s="110">
        <v>40000</v>
      </c>
      <c r="H833" s="59"/>
      <c r="J833" s="14"/>
      <c r="K833" s="14"/>
      <c r="M833" s="14"/>
    </row>
    <row r="834" spans="1:13" ht="12.75">
      <c r="A834" s="29" t="s">
        <v>63</v>
      </c>
      <c r="B834" s="62" t="s">
        <v>131</v>
      </c>
      <c r="C834" s="110">
        <v>2000</v>
      </c>
      <c r="D834" s="49">
        <v>0</v>
      </c>
      <c r="E834" s="88">
        <f t="shared" si="20"/>
        <v>2000</v>
      </c>
      <c r="F834" s="110">
        <v>2000</v>
      </c>
      <c r="G834" s="110">
        <v>2000</v>
      </c>
      <c r="H834" s="164"/>
      <c r="J834" s="14"/>
      <c r="K834" s="14"/>
      <c r="M834" s="14"/>
    </row>
    <row r="835" spans="1:13" ht="12.75">
      <c r="A835" s="29" t="s">
        <v>133</v>
      </c>
      <c r="B835" s="62" t="s">
        <v>134</v>
      </c>
      <c r="C835" s="49">
        <v>0</v>
      </c>
      <c r="D835" s="49">
        <v>0</v>
      </c>
      <c r="E835" s="88">
        <f t="shared" si="20"/>
        <v>0</v>
      </c>
      <c r="F835" s="49">
        <v>0</v>
      </c>
      <c r="G835" s="49">
        <v>0</v>
      </c>
      <c r="H835" s="164"/>
      <c r="J835" s="14"/>
      <c r="K835" s="14"/>
      <c r="M835" s="14"/>
    </row>
    <row r="836" spans="1:8" ht="12.75">
      <c r="A836" s="29" t="s">
        <v>227</v>
      </c>
      <c r="B836" s="62" t="s">
        <v>135</v>
      </c>
      <c r="C836" s="110">
        <v>833000</v>
      </c>
      <c r="D836" s="49">
        <v>399000</v>
      </c>
      <c r="E836" s="88">
        <f t="shared" si="20"/>
        <v>441000</v>
      </c>
      <c r="F836" s="110">
        <v>840000</v>
      </c>
      <c r="G836" s="110">
        <v>840000</v>
      </c>
      <c r="H836" s="59"/>
    </row>
    <row r="837" spans="1:8" ht="12.75">
      <c r="A837" s="29" t="s">
        <v>227</v>
      </c>
      <c r="B837" s="63" t="s">
        <v>136</v>
      </c>
      <c r="C837" s="110">
        <v>0</v>
      </c>
      <c r="D837" s="152">
        <v>0</v>
      </c>
      <c r="E837" s="88">
        <f t="shared" si="20"/>
        <v>0</v>
      </c>
      <c r="F837" s="110">
        <v>0</v>
      </c>
      <c r="G837" s="110">
        <v>0</v>
      </c>
      <c r="H837" s="16"/>
    </row>
    <row r="838" spans="1:11" ht="12.75">
      <c r="A838" s="29" t="s">
        <v>81</v>
      </c>
      <c r="B838" s="62" t="s">
        <v>137</v>
      </c>
      <c r="C838" s="110">
        <v>90000</v>
      </c>
      <c r="D838" s="49">
        <v>0</v>
      </c>
      <c r="E838" s="88">
        <f t="shared" si="20"/>
        <v>90000</v>
      </c>
      <c r="F838" s="110">
        <v>90000</v>
      </c>
      <c r="G838" s="110">
        <v>90000</v>
      </c>
      <c r="H838" s="16"/>
      <c r="J838" s="14"/>
      <c r="K838" s="14"/>
    </row>
    <row r="839" spans="1:8" ht="12.75">
      <c r="A839" s="29" t="s">
        <v>251</v>
      </c>
      <c r="B839" s="62" t="s">
        <v>252</v>
      </c>
      <c r="C839" s="283">
        <v>0</v>
      </c>
      <c r="D839" s="152">
        <v>441000</v>
      </c>
      <c r="E839" s="152">
        <f t="shared" si="20"/>
        <v>651000</v>
      </c>
      <c r="F839" s="283">
        <v>1092000</v>
      </c>
      <c r="G839" s="283">
        <v>924000</v>
      </c>
      <c r="H839" s="16"/>
    </row>
    <row r="840" spans="1:8" ht="12.75">
      <c r="A840" s="29" t="s">
        <v>253</v>
      </c>
      <c r="B840" s="62" t="s">
        <v>254</v>
      </c>
      <c r="C840" s="363">
        <v>2346000</v>
      </c>
      <c r="D840" s="152">
        <v>555000</v>
      </c>
      <c r="E840" s="152">
        <f t="shared" si="20"/>
        <v>965000</v>
      </c>
      <c r="F840" s="363">
        <v>1520000</v>
      </c>
      <c r="G840" s="363">
        <v>756000</v>
      </c>
      <c r="H840" s="16"/>
    </row>
    <row r="841" spans="1:8" ht="12.75">
      <c r="A841" s="29" t="s">
        <v>146</v>
      </c>
      <c r="B841" s="62" t="s">
        <v>147</v>
      </c>
      <c r="C841" s="110">
        <v>30000</v>
      </c>
      <c r="D841" s="49">
        <v>0</v>
      </c>
      <c r="E841" s="88">
        <f t="shared" si="20"/>
        <v>30000</v>
      </c>
      <c r="F841" s="110">
        <v>30000</v>
      </c>
      <c r="G841" s="110">
        <v>30000</v>
      </c>
      <c r="H841" s="59"/>
    </row>
    <row r="842" spans="1:12" ht="12.75">
      <c r="A842" s="29" t="s">
        <v>270</v>
      </c>
      <c r="B842" s="62" t="s">
        <v>271</v>
      </c>
      <c r="C842" s="88">
        <v>150000</v>
      </c>
      <c r="D842" s="49">
        <v>0</v>
      </c>
      <c r="E842" s="88">
        <f t="shared" si="20"/>
        <v>250000</v>
      </c>
      <c r="F842" s="88">
        <v>250000</v>
      </c>
      <c r="G842" s="88">
        <v>100000</v>
      </c>
      <c r="H842" s="59"/>
      <c r="L842" s="14"/>
    </row>
    <row r="843" spans="1:12" ht="12.75">
      <c r="A843" s="41" t="s">
        <v>58</v>
      </c>
      <c r="B843" s="63" t="s">
        <v>153</v>
      </c>
      <c r="C843" s="110">
        <v>0</v>
      </c>
      <c r="D843" s="49">
        <v>0</v>
      </c>
      <c r="E843" s="88">
        <f t="shared" si="20"/>
        <v>0</v>
      </c>
      <c r="F843" s="110">
        <v>0</v>
      </c>
      <c r="G843" s="110">
        <v>0</v>
      </c>
      <c r="H843" s="59"/>
      <c r="L843" s="14"/>
    </row>
    <row r="844" spans="1:12" ht="12.75">
      <c r="A844" s="18"/>
      <c r="B844" s="42"/>
      <c r="C844" s="8"/>
      <c r="D844" s="8"/>
      <c r="E844" s="8"/>
      <c r="F844" s="8"/>
      <c r="G844" s="8"/>
      <c r="H844" s="16"/>
      <c r="L844" s="14"/>
    </row>
    <row r="845" spans="1:13" ht="12.75">
      <c r="A845" s="43" t="s">
        <v>192</v>
      </c>
      <c r="B845" s="7"/>
      <c r="C845" s="8">
        <f>SUM(C831:C843)</f>
        <v>4390359</v>
      </c>
      <c r="D845" s="8">
        <f>SUM(D831:D843)</f>
        <v>1841556.7</v>
      </c>
      <c r="E845" s="8">
        <f>SUM(E831:E843)</f>
        <v>2922443.3</v>
      </c>
      <c r="F845" s="8">
        <f>SUM(F831:F843)</f>
        <v>4764000</v>
      </c>
      <c r="G845" s="8">
        <f>SUM(G831:G843)</f>
        <v>3682000</v>
      </c>
      <c r="H845" s="16"/>
      <c r="J845" s="14"/>
      <c r="K845" s="14"/>
      <c r="M845" s="14"/>
    </row>
    <row r="846" spans="1:8" ht="12.75">
      <c r="A846" s="18"/>
      <c r="B846" s="7"/>
      <c r="C846" s="8"/>
      <c r="D846" s="8"/>
      <c r="E846" s="8"/>
      <c r="F846" s="8"/>
      <c r="G846" s="8"/>
      <c r="H846" s="2"/>
    </row>
    <row r="847" spans="1:8" ht="12.75">
      <c r="A847" s="43" t="s">
        <v>44</v>
      </c>
      <c r="B847" s="5"/>
      <c r="C847" s="5"/>
      <c r="D847" s="5"/>
      <c r="E847" s="5"/>
      <c r="F847" s="5"/>
      <c r="G847" s="5"/>
      <c r="H847" s="2"/>
    </row>
    <row r="848" spans="1:8" ht="12.75">
      <c r="A848" s="29" t="s">
        <v>26</v>
      </c>
      <c r="B848" s="39" t="s">
        <v>155</v>
      </c>
      <c r="C848" s="123">
        <v>0</v>
      </c>
      <c r="D848" s="6">
        <v>0</v>
      </c>
      <c r="E848" s="88">
        <f>F848-D848</f>
        <v>0</v>
      </c>
      <c r="F848" s="123">
        <v>0</v>
      </c>
      <c r="G848" s="123">
        <v>0</v>
      </c>
      <c r="H848" s="2"/>
    </row>
    <row r="849" spans="1:8" ht="12.75">
      <c r="A849" s="29" t="s">
        <v>92</v>
      </c>
      <c r="B849" s="39" t="s">
        <v>157</v>
      </c>
      <c r="C849" s="123">
        <v>249900</v>
      </c>
      <c r="D849" s="6">
        <v>399000</v>
      </c>
      <c r="E849" s="88">
        <f>F849-D849</f>
        <v>1000</v>
      </c>
      <c r="F849" s="123">
        <v>400000</v>
      </c>
      <c r="G849" s="123">
        <v>0</v>
      </c>
      <c r="H849" s="59"/>
    </row>
    <row r="850" spans="1:8" ht="12.75">
      <c r="A850" s="29" t="s">
        <v>211</v>
      </c>
      <c r="B850" s="39" t="s">
        <v>156</v>
      </c>
      <c r="C850" s="123">
        <v>0</v>
      </c>
      <c r="D850" s="152">
        <v>0</v>
      </c>
      <c r="E850" s="88">
        <f>F850-D850</f>
        <v>0</v>
      </c>
      <c r="F850" s="123">
        <v>0</v>
      </c>
      <c r="G850" s="123">
        <v>0</v>
      </c>
      <c r="H850" s="2"/>
    </row>
    <row r="851" spans="1:12" ht="12.75">
      <c r="A851" s="37" t="s">
        <v>77</v>
      </c>
      <c r="B851" s="7"/>
      <c r="C851" s="8">
        <f>SUM(C848:C850)</f>
        <v>249900</v>
      </c>
      <c r="D851" s="8">
        <f>SUM(D848:D850)</f>
        <v>399000</v>
      </c>
      <c r="E851" s="8">
        <f>SUM(E848:E850)</f>
        <v>1000</v>
      </c>
      <c r="F851" s="8">
        <f>SUM(F848:F850)</f>
        <v>400000</v>
      </c>
      <c r="G851" s="8">
        <f>SUM(G848:G850)</f>
        <v>0</v>
      </c>
      <c r="H851" s="2"/>
      <c r="L851" s="14"/>
    </row>
    <row r="852" spans="1:11" ht="12.75">
      <c r="A852" s="5"/>
      <c r="B852" s="5"/>
      <c r="C852" s="6"/>
      <c r="D852" s="6"/>
      <c r="E852" s="6"/>
      <c r="F852" s="6"/>
      <c r="G852" s="6"/>
      <c r="H852" s="2"/>
      <c r="I852" s="14"/>
      <c r="J852" s="14"/>
      <c r="K852" s="14"/>
    </row>
    <row r="853" spans="1:8" ht="12.75">
      <c r="A853" s="7" t="s">
        <v>34</v>
      </c>
      <c r="B853" s="7"/>
      <c r="C853" s="8">
        <f>C817+C845+C851</f>
        <v>18310595.36</v>
      </c>
      <c r="D853" s="8">
        <f>D817+D845+D851</f>
        <v>9044144.37</v>
      </c>
      <c r="E853" s="8">
        <f>E817+E845+E851</f>
        <v>14911488.43</v>
      </c>
      <c r="F853" s="8">
        <f>F817+F845+F851</f>
        <v>23955632.8</v>
      </c>
      <c r="G853" s="8">
        <f>G817+G845+G851</f>
        <v>18217030.130000003</v>
      </c>
      <c r="H853" s="59"/>
    </row>
    <row r="854" spans="1:8" ht="12.75">
      <c r="A854" s="4"/>
      <c r="B854" s="4"/>
      <c r="C854" s="4"/>
      <c r="D854" s="4"/>
      <c r="E854" s="4"/>
      <c r="F854" s="4"/>
      <c r="G854" s="4"/>
      <c r="H854" s="2"/>
    </row>
    <row r="855" spans="1:8" ht="12.75">
      <c r="A855" s="2"/>
      <c r="B855" s="2"/>
      <c r="C855" s="2"/>
      <c r="D855" s="2"/>
      <c r="E855" s="2"/>
      <c r="F855" s="2"/>
      <c r="G855" s="2"/>
      <c r="H855" s="2"/>
    </row>
    <row r="856" spans="1:8" ht="12.75">
      <c r="A856" s="2" t="s">
        <v>185</v>
      </c>
      <c r="B856" s="2" t="s">
        <v>186</v>
      </c>
      <c r="C856" s="2"/>
      <c r="D856" s="2"/>
      <c r="E856" s="161" t="s">
        <v>170</v>
      </c>
      <c r="F856" s="2"/>
      <c r="G856" s="2"/>
      <c r="H856" s="2"/>
    </row>
    <row r="857" spans="1:8" ht="12.75">
      <c r="A857" s="2"/>
      <c r="B857" s="2"/>
      <c r="C857" s="2"/>
      <c r="D857" s="2"/>
      <c r="E857" s="161"/>
      <c r="F857" s="2"/>
      <c r="G857" s="2"/>
      <c r="H857" s="2"/>
    </row>
    <row r="858" spans="1:8" ht="12.75">
      <c r="A858" s="2"/>
      <c r="B858" s="2"/>
      <c r="C858" s="2"/>
      <c r="D858" s="2"/>
      <c r="E858" s="161"/>
      <c r="F858" s="2"/>
      <c r="G858" s="2"/>
      <c r="H858" s="2"/>
    </row>
    <row r="859" spans="1:8" ht="12.75">
      <c r="A859" s="2"/>
      <c r="B859" s="22"/>
      <c r="C859" s="22"/>
      <c r="D859" s="22"/>
      <c r="E859" s="162"/>
      <c r="F859" s="22"/>
      <c r="G859" s="2"/>
      <c r="H859" s="2"/>
    </row>
    <row r="860" spans="1:8" ht="12.75">
      <c r="A860" s="22" t="s">
        <v>378</v>
      </c>
      <c r="B860" s="22" t="s">
        <v>277</v>
      </c>
      <c r="C860" s="22"/>
      <c r="D860" s="22"/>
      <c r="E860" s="162" t="s">
        <v>161</v>
      </c>
      <c r="F860" s="22"/>
      <c r="G860" s="2"/>
      <c r="H860" s="2"/>
    </row>
    <row r="861" spans="1:8" ht="12.75">
      <c r="A861" s="2" t="s">
        <v>37</v>
      </c>
      <c r="B861" s="2" t="s">
        <v>373</v>
      </c>
      <c r="C861" s="2"/>
      <c r="D861" s="2"/>
      <c r="E861" s="161" t="s">
        <v>25</v>
      </c>
      <c r="F861" s="2"/>
      <c r="G861" s="2"/>
      <c r="H861" s="2"/>
    </row>
    <row r="862" spans="1:8" ht="15">
      <c r="A862" s="2"/>
      <c r="B862" s="2"/>
      <c r="C862" s="2"/>
      <c r="D862" s="2"/>
      <c r="E862" s="2"/>
      <c r="F862" s="2"/>
      <c r="G862" s="2"/>
      <c r="H862" s="53"/>
    </row>
    <row r="863" spans="1:8" ht="12.75">
      <c r="A863" s="2"/>
      <c r="B863" s="2"/>
      <c r="C863" s="2"/>
      <c r="D863" s="2"/>
      <c r="E863" s="2"/>
      <c r="F863" s="2"/>
      <c r="G863" s="2"/>
      <c r="H863" s="54"/>
    </row>
    <row r="864" spans="1:8" ht="12.75">
      <c r="A864" s="19" t="s">
        <v>208</v>
      </c>
      <c r="B864" s="2"/>
      <c r="C864" s="2"/>
      <c r="D864" s="2"/>
      <c r="E864" s="2"/>
      <c r="F864" s="2"/>
      <c r="G864" s="2"/>
      <c r="H864" s="21"/>
    </row>
    <row r="865" spans="1:8" ht="12.75">
      <c r="A865" s="19"/>
      <c r="B865" s="2"/>
      <c r="C865" s="2"/>
      <c r="D865" s="2"/>
      <c r="E865" s="2"/>
      <c r="F865" s="2"/>
      <c r="G865" s="2"/>
      <c r="H865" s="21"/>
    </row>
    <row r="866" spans="1:8" ht="12.75">
      <c r="A866" s="2"/>
      <c r="B866" s="2"/>
      <c r="C866" s="2"/>
      <c r="D866" s="2"/>
      <c r="E866" s="2"/>
      <c r="F866" s="2"/>
      <c r="G866" s="2"/>
      <c r="H866" s="21"/>
    </row>
    <row r="867" spans="1:8" ht="15">
      <c r="A867" s="474" t="s">
        <v>165</v>
      </c>
      <c r="B867" s="474"/>
      <c r="C867" s="474"/>
      <c r="D867" s="474"/>
      <c r="E867" s="474"/>
      <c r="F867" s="474"/>
      <c r="G867" s="474"/>
      <c r="H867" s="21"/>
    </row>
    <row r="868" spans="1:8" ht="15">
      <c r="A868" s="474" t="s">
        <v>172</v>
      </c>
      <c r="B868" s="474"/>
      <c r="C868" s="474"/>
      <c r="D868" s="474"/>
      <c r="E868" s="474"/>
      <c r="F868" s="474"/>
      <c r="G868" s="474"/>
      <c r="H868" s="21"/>
    </row>
    <row r="869" spans="1:8" ht="12.75">
      <c r="A869" s="54"/>
      <c r="B869" s="54"/>
      <c r="C869" s="54"/>
      <c r="D869" s="54"/>
      <c r="E869" s="54"/>
      <c r="F869" s="54"/>
      <c r="G869" s="54"/>
      <c r="H869" s="154"/>
    </row>
    <row r="870" spans="1:8" ht="12.75">
      <c r="A870" s="54"/>
      <c r="B870" s="54"/>
      <c r="C870" s="54"/>
      <c r="D870" s="54"/>
      <c r="E870" s="54"/>
      <c r="F870" s="54"/>
      <c r="G870" s="54"/>
      <c r="H870" s="154"/>
    </row>
    <row r="871" spans="1:8" ht="12.75">
      <c r="A871" s="21" t="s">
        <v>52</v>
      </c>
      <c r="B871" s="21" t="s">
        <v>6</v>
      </c>
      <c r="C871" s="21"/>
      <c r="D871" s="21"/>
      <c r="E871" s="21"/>
      <c r="F871" s="2"/>
      <c r="G871" s="2"/>
      <c r="H871" s="163"/>
    </row>
    <row r="872" spans="1:8" ht="12.75">
      <c r="A872" s="2"/>
      <c r="B872" s="2"/>
      <c r="C872" s="2"/>
      <c r="D872" s="2"/>
      <c r="E872" s="2"/>
      <c r="F872" s="2"/>
      <c r="G872" s="2"/>
      <c r="H872" s="2"/>
    </row>
    <row r="873" spans="1:8" ht="12.75">
      <c r="A873" s="23"/>
      <c r="B873" s="23"/>
      <c r="C873" s="475" t="s">
        <v>79</v>
      </c>
      <c r="D873" s="479" t="s">
        <v>166</v>
      </c>
      <c r="E873" s="480"/>
      <c r="F873" s="481"/>
      <c r="G873" s="482" t="s">
        <v>73</v>
      </c>
      <c r="H873" s="2"/>
    </row>
    <row r="874" spans="1:8" ht="12.75">
      <c r="A874" s="24" t="s">
        <v>167</v>
      </c>
      <c r="B874" s="304" t="s">
        <v>241</v>
      </c>
      <c r="C874" s="476"/>
      <c r="D874" s="24" t="s">
        <v>168</v>
      </c>
      <c r="E874" s="24" t="s">
        <v>169</v>
      </c>
      <c r="F874" s="477" t="s">
        <v>23</v>
      </c>
      <c r="G874" s="483"/>
      <c r="H874" s="59"/>
    </row>
    <row r="875" spans="1:8" ht="12.75">
      <c r="A875" s="24"/>
      <c r="B875" s="24"/>
      <c r="C875" s="24" t="s">
        <v>53</v>
      </c>
      <c r="D875" s="24" t="s">
        <v>53</v>
      </c>
      <c r="E875" s="156" t="s">
        <v>86</v>
      </c>
      <c r="F875" s="478"/>
      <c r="G875" s="3" t="s">
        <v>54</v>
      </c>
      <c r="H875" s="59"/>
    </row>
    <row r="876" spans="1:8" ht="12.75">
      <c r="A876" s="46">
        <v>1</v>
      </c>
      <c r="B876" s="46">
        <v>2</v>
      </c>
      <c r="C876" s="46">
        <v>3</v>
      </c>
      <c r="D876" s="90">
        <v>4</v>
      </c>
      <c r="E876" s="90">
        <v>5</v>
      </c>
      <c r="F876" s="90">
        <v>6</v>
      </c>
      <c r="G876" s="91">
        <v>7</v>
      </c>
      <c r="H876" s="59"/>
    </row>
    <row r="877" spans="1:8" ht="12.75">
      <c r="A877" s="5"/>
      <c r="B877" s="5"/>
      <c r="C877" s="5"/>
      <c r="D877" s="116"/>
      <c r="E877" s="116"/>
      <c r="F877" s="116"/>
      <c r="G877" s="5"/>
      <c r="H877" s="59"/>
    </row>
    <row r="878" spans="1:8" ht="12.75" customHeight="1">
      <c r="A878" s="42" t="s">
        <v>43</v>
      </c>
      <c r="B878" s="72"/>
      <c r="C878" s="5"/>
      <c r="D878" s="116"/>
      <c r="E878" s="116"/>
      <c r="F878" s="116"/>
      <c r="G878" s="92"/>
      <c r="H878" s="59"/>
    </row>
    <row r="879" spans="1:8" ht="12.75" customHeight="1">
      <c r="A879" s="41" t="s">
        <v>7</v>
      </c>
      <c r="B879" s="157" t="s">
        <v>113</v>
      </c>
      <c r="C879" s="6">
        <v>1048356</v>
      </c>
      <c r="D879" s="191">
        <v>535890</v>
      </c>
      <c r="E879" s="88">
        <f aca="true" t="shared" si="21" ref="E879:E893">F879-D879</f>
        <v>550854</v>
      </c>
      <c r="F879" s="6">
        <v>1086744</v>
      </c>
      <c r="G879" s="139">
        <v>1108020</v>
      </c>
      <c r="H879" s="59"/>
    </row>
    <row r="880" spans="1:8" ht="12.75">
      <c r="A880" s="29" t="s">
        <v>100</v>
      </c>
      <c r="B880" s="157" t="s">
        <v>114</v>
      </c>
      <c r="C880" s="6">
        <v>48000</v>
      </c>
      <c r="D880" s="191">
        <v>24000</v>
      </c>
      <c r="E880" s="88">
        <f t="shared" si="21"/>
        <v>24000</v>
      </c>
      <c r="F880" s="6">
        <v>48000</v>
      </c>
      <c r="G880" s="139">
        <v>48000</v>
      </c>
      <c r="H880" s="59"/>
    </row>
    <row r="881" spans="1:8" ht="12.75">
      <c r="A881" s="41" t="s">
        <v>42</v>
      </c>
      <c r="B881" s="157" t="s">
        <v>115</v>
      </c>
      <c r="C881" s="6">
        <v>76500</v>
      </c>
      <c r="D881" s="191">
        <v>38250</v>
      </c>
      <c r="E881" s="88">
        <f t="shared" si="21"/>
        <v>38250</v>
      </c>
      <c r="F881" s="6">
        <v>76500</v>
      </c>
      <c r="G881" s="139">
        <v>76500</v>
      </c>
      <c r="H881" s="59"/>
    </row>
    <row r="882" spans="1:8" ht="12.75">
      <c r="A882" s="41" t="s">
        <v>3</v>
      </c>
      <c r="B882" s="62" t="s">
        <v>159</v>
      </c>
      <c r="C882" s="6">
        <v>76500</v>
      </c>
      <c r="D882" s="191">
        <v>38250</v>
      </c>
      <c r="E882" s="88">
        <f t="shared" si="21"/>
        <v>38250</v>
      </c>
      <c r="F882" s="6">
        <v>76500</v>
      </c>
      <c r="G882" s="139">
        <v>76500</v>
      </c>
      <c r="H882" s="59"/>
    </row>
    <row r="883" spans="1:8" ht="12.75">
      <c r="A883" s="41" t="s">
        <v>18</v>
      </c>
      <c r="B883" s="157" t="s">
        <v>116</v>
      </c>
      <c r="C883" s="6">
        <v>12000</v>
      </c>
      <c r="D883" s="191">
        <v>12000</v>
      </c>
      <c r="E883" s="88">
        <f t="shared" si="21"/>
        <v>0</v>
      </c>
      <c r="F883" s="6">
        <v>12000</v>
      </c>
      <c r="G883" s="139">
        <v>12000</v>
      </c>
      <c r="H883" s="59"/>
    </row>
    <row r="884" spans="1:8" ht="12.75">
      <c r="A884" s="41" t="s">
        <v>175</v>
      </c>
      <c r="B884" s="157" t="s">
        <v>176</v>
      </c>
      <c r="C884" s="64">
        <v>10000</v>
      </c>
      <c r="D884" s="191">
        <v>0</v>
      </c>
      <c r="E884" s="88">
        <f t="shared" si="21"/>
        <v>10000</v>
      </c>
      <c r="F884" s="64">
        <v>10000</v>
      </c>
      <c r="G884" s="77">
        <v>10000</v>
      </c>
      <c r="H884" s="59"/>
    </row>
    <row r="885" spans="1:8" ht="12.75">
      <c r="A885" s="41" t="s">
        <v>27</v>
      </c>
      <c r="B885" s="157" t="s">
        <v>117</v>
      </c>
      <c r="C885" s="6">
        <v>10000</v>
      </c>
      <c r="D885" s="191">
        <v>0</v>
      </c>
      <c r="E885" s="88">
        <f t="shared" si="21"/>
        <v>10000</v>
      </c>
      <c r="F885" s="6">
        <v>10000</v>
      </c>
      <c r="G885" s="139">
        <v>10000</v>
      </c>
      <c r="H885" s="59"/>
    </row>
    <row r="886" spans="1:9" ht="12.75">
      <c r="A886" s="41" t="s">
        <v>96</v>
      </c>
      <c r="B886" s="157" t="s">
        <v>118</v>
      </c>
      <c r="C886" s="6">
        <f>C879/12</f>
        <v>87363</v>
      </c>
      <c r="D886" s="191">
        <v>0</v>
      </c>
      <c r="E886" s="88">
        <f t="shared" si="21"/>
        <v>90562</v>
      </c>
      <c r="F886" s="6">
        <f>F879/12</f>
        <v>90562</v>
      </c>
      <c r="G886" s="139">
        <f>G879/12</f>
        <v>92335</v>
      </c>
      <c r="H886" s="59"/>
      <c r="I886" s="14"/>
    </row>
    <row r="887" spans="1:9" ht="12.75">
      <c r="A887" s="41" t="s">
        <v>173</v>
      </c>
      <c r="B887" s="157" t="s">
        <v>174</v>
      </c>
      <c r="C887" s="6">
        <f>C879/12</f>
        <v>87363</v>
      </c>
      <c r="D887" s="64">
        <v>89315</v>
      </c>
      <c r="E887" s="88">
        <f t="shared" si="21"/>
        <v>1247</v>
      </c>
      <c r="F887" s="6">
        <f>F879/12</f>
        <v>90562</v>
      </c>
      <c r="G887" s="139">
        <f>G879/12</f>
        <v>92335</v>
      </c>
      <c r="H887" s="59"/>
      <c r="I887" s="14"/>
    </row>
    <row r="888" spans="1:8" ht="12.75">
      <c r="A888" s="41" t="s">
        <v>235</v>
      </c>
      <c r="B888" s="157" t="s">
        <v>119</v>
      </c>
      <c r="C888" s="6">
        <f>C879*12%</f>
        <v>125802.72</v>
      </c>
      <c r="D888" s="191">
        <v>64306.8</v>
      </c>
      <c r="E888" s="88">
        <f t="shared" si="21"/>
        <v>66102.48</v>
      </c>
      <c r="F888" s="6">
        <f>F879*12%</f>
        <v>130409.28</v>
      </c>
      <c r="G888" s="139">
        <v>132962.4</v>
      </c>
      <c r="H888" s="59"/>
    </row>
    <row r="889" spans="1:9" ht="12.75">
      <c r="A889" s="41" t="s">
        <v>28</v>
      </c>
      <c r="B889" s="157" t="s">
        <v>120</v>
      </c>
      <c r="C889" s="6">
        <v>2400</v>
      </c>
      <c r="D889" s="191">
        <v>1200</v>
      </c>
      <c r="E889" s="88">
        <f t="shared" si="21"/>
        <v>1200</v>
      </c>
      <c r="F889" s="6">
        <v>2400</v>
      </c>
      <c r="G889" s="139">
        <v>2400</v>
      </c>
      <c r="H889" s="16"/>
      <c r="I889" s="14"/>
    </row>
    <row r="890" spans="1:8" ht="12.75">
      <c r="A890" s="41" t="s">
        <v>69</v>
      </c>
      <c r="B890" s="157" t="s">
        <v>121</v>
      </c>
      <c r="C890" s="6">
        <v>13037.28</v>
      </c>
      <c r="D890" s="191">
        <v>7256.8</v>
      </c>
      <c r="E890" s="88">
        <f t="shared" si="21"/>
        <v>14478.080000000002</v>
      </c>
      <c r="F890" s="6">
        <v>21734.88</v>
      </c>
      <c r="G890" s="139">
        <v>24930.45</v>
      </c>
      <c r="H890" s="59"/>
    </row>
    <row r="891" spans="1:8" ht="12.75">
      <c r="A891" s="29" t="s">
        <v>122</v>
      </c>
      <c r="B891" s="157" t="s">
        <v>123</v>
      </c>
      <c r="C891" s="6">
        <v>2400</v>
      </c>
      <c r="D891" s="191">
        <v>1200</v>
      </c>
      <c r="E891" s="88">
        <f t="shared" si="21"/>
        <v>1200</v>
      </c>
      <c r="F891" s="6">
        <v>2400</v>
      </c>
      <c r="G891" s="139">
        <v>2400</v>
      </c>
      <c r="H891" s="59"/>
    </row>
    <row r="892" spans="1:8" ht="12.75">
      <c r="A892" s="41" t="s">
        <v>90</v>
      </c>
      <c r="B892" s="157" t="s">
        <v>124</v>
      </c>
      <c r="C892" s="6">
        <v>0</v>
      </c>
      <c r="D892" s="191">
        <v>0</v>
      </c>
      <c r="E892" s="88">
        <f t="shared" si="21"/>
        <v>0</v>
      </c>
      <c r="F892" s="6">
        <v>0</v>
      </c>
      <c r="G892" s="139">
        <v>0</v>
      </c>
      <c r="H892" s="59"/>
    </row>
    <row r="893" spans="1:8" ht="12.75">
      <c r="A893" s="41" t="s">
        <v>99</v>
      </c>
      <c r="B893" s="157" t="s">
        <v>125</v>
      </c>
      <c r="C893" s="60">
        <v>36112.72</v>
      </c>
      <c r="D893" s="191">
        <v>36807.17</v>
      </c>
      <c r="E893" s="88">
        <f t="shared" si="21"/>
        <v>6837.0999999999985</v>
      </c>
      <c r="F893" s="60">
        <v>43644.27</v>
      </c>
      <c r="G893" s="425">
        <v>44498.73</v>
      </c>
      <c r="H893" s="59"/>
    </row>
    <row r="894" spans="1:8" ht="12.75">
      <c r="A894" s="5"/>
      <c r="B894" s="5"/>
      <c r="C894" s="5"/>
      <c r="D894" s="5"/>
      <c r="E894" s="5"/>
      <c r="F894" s="5"/>
      <c r="G894" s="5"/>
      <c r="H894" s="59"/>
    </row>
    <row r="895" spans="1:9" ht="12.75">
      <c r="A895" s="18" t="s">
        <v>193</v>
      </c>
      <c r="B895" s="42"/>
      <c r="C895" s="8">
        <f>SUM(C879:C893)</f>
        <v>1635834.72</v>
      </c>
      <c r="D895" s="8">
        <f>SUM(D879:D893)</f>
        <v>848475.7700000001</v>
      </c>
      <c r="E895" s="8">
        <f>SUM(E879:E893)</f>
        <v>852980.6599999999</v>
      </c>
      <c r="F895" s="8">
        <f>SUM(F879:F893)</f>
        <v>1701456.43</v>
      </c>
      <c r="G895" s="8">
        <f>SUM(G879:G893)</f>
        <v>1732881.5799999998</v>
      </c>
      <c r="H895" s="59"/>
      <c r="I895" s="176"/>
    </row>
    <row r="896" spans="1:8" ht="12.75">
      <c r="A896" s="5"/>
      <c r="B896" s="33"/>
      <c r="C896" s="6"/>
      <c r="D896" s="6"/>
      <c r="E896" s="6"/>
      <c r="F896" s="6"/>
      <c r="G896" s="6"/>
      <c r="H896" s="59"/>
    </row>
    <row r="897" spans="1:8" ht="12.75">
      <c r="A897" s="179"/>
      <c r="B897" s="182"/>
      <c r="C897" s="183"/>
      <c r="D897" s="183"/>
      <c r="E897" s="183"/>
      <c r="F897" s="183"/>
      <c r="G897" s="183"/>
      <c r="H897" s="59"/>
    </row>
    <row r="898" spans="1:8" ht="12.75">
      <c r="A898" s="2"/>
      <c r="B898" s="36"/>
      <c r="C898" s="59"/>
      <c r="D898" s="59"/>
      <c r="E898" s="59"/>
      <c r="F898" s="59"/>
      <c r="G898" s="59"/>
      <c r="H898" s="59"/>
    </row>
    <row r="899" spans="1:8" ht="12.75">
      <c r="A899" s="2"/>
      <c r="B899" s="36"/>
      <c r="C899" s="59"/>
      <c r="D899" s="59"/>
      <c r="E899" s="59"/>
      <c r="F899" s="59"/>
      <c r="G899" s="59"/>
      <c r="H899" s="59"/>
    </row>
    <row r="900" spans="1:8" ht="12.75">
      <c r="A900" s="2"/>
      <c r="B900" s="36"/>
      <c r="C900" s="59"/>
      <c r="D900" s="59"/>
      <c r="E900" s="59"/>
      <c r="F900" s="59"/>
      <c r="G900" s="59"/>
      <c r="H900" s="59"/>
    </row>
    <row r="901" spans="1:8" ht="12.75">
      <c r="A901" s="2"/>
      <c r="B901" s="36"/>
      <c r="C901" s="59"/>
      <c r="D901" s="59"/>
      <c r="E901" s="59"/>
      <c r="F901" s="59"/>
      <c r="G901" s="59"/>
      <c r="H901" s="59"/>
    </row>
    <row r="902" spans="1:8" ht="12.75">
      <c r="A902" s="68"/>
      <c r="B902" s="184"/>
      <c r="C902" s="185"/>
      <c r="D902" s="185"/>
      <c r="E902" s="185"/>
      <c r="F902" s="185"/>
      <c r="G902" s="185"/>
      <c r="H902" s="59"/>
    </row>
    <row r="903" spans="1:8" ht="12.75">
      <c r="A903" s="24"/>
      <c r="B903" s="24"/>
      <c r="C903" s="475" t="s">
        <v>79</v>
      </c>
      <c r="D903" s="479" t="s">
        <v>166</v>
      </c>
      <c r="E903" s="480"/>
      <c r="F903" s="481"/>
      <c r="G903" s="482" t="s">
        <v>73</v>
      </c>
      <c r="H903" s="59"/>
    </row>
    <row r="904" spans="1:8" ht="12.75">
      <c r="A904" s="24" t="s">
        <v>167</v>
      </c>
      <c r="B904" s="304" t="s">
        <v>241</v>
      </c>
      <c r="C904" s="476"/>
      <c r="D904" s="24" t="s">
        <v>168</v>
      </c>
      <c r="E904" s="24" t="s">
        <v>169</v>
      </c>
      <c r="F904" s="477" t="s">
        <v>23</v>
      </c>
      <c r="G904" s="483"/>
      <c r="H904" s="133"/>
    </row>
    <row r="905" spans="1:8" ht="12.75">
      <c r="A905" s="24"/>
      <c r="B905" s="24"/>
      <c r="C905" s="24" t="s">
        <v>53</v>
      </c>
      <c r="D905" s="24" t="s">
        <v>53</v>
      </c>
      <c r="E905" s="156" t="s">
        <v>86</v>
      </c>
      <c r="F905" s="478"/>
      <c r="G905" s="3" t="s">
        <v>54</v>
      </c>
      <c r="H905" s="133"/>
    </row>
    <row r="906" spans="1:8" ht="12.75">
      <c r="A906" s="46">
        <v>1</v>
      </c>
      <c r="B906" s="46">
        <v>2</v>
      </c>
      <c r="C906" s="46">
        <v>3</v>
      </c>
      <c r="D906" s="90">
        <v>4</v>
      </c>
      <c r="E906" s="90">
        <v>5</v>
      </c>
      <c r="F906" s="90">
        <v>6</v>
      </c>
      <c r="G906" s="91">
        <v>7</v>
      </c>
      <c r="H906" s="133"/>
    </row>
    <row r="907" spans="1:8" ht="14.25">
      <c r="A907" s="5"/>
      <c r="B907" s="158"/>
      <c r="C907" s="5"/>
      <c r="D907" s="5"/>
      <c r="E907" s="5"/>
      <c r="F907" s="5"/>
      <c r="G907" s="5"/>
      <c r="H907" s="133"/>
    </row>
    <row r="908" spans="1:8" ht="14.25">
      <c r="A908" s="43" t="s">
        <v>178</v>
      </c>
      <c r="B908" s="160"/>
      <c r="C908" s="5"/>
      <c r="D908" s="5"/>
      <c r="E908" s="5"/>
      <c r="F908" s="5"/>
      <c r="G908" s="5"/>
      <c r="H908" s="133"/>
    </row>
    <row r="909" spans="1:8" ht="12.75">
      <c r="A909" s="29" t="s">
        <v>244</v>
      </c>
      <c r="B909" s="62" t="s">
        <v>126</v>
      </c>
      <c r="C909" s="6">
        <v>50000</v>
      </c>
      <c r="D909" s="191">
        <v>0</v>
      </c>
      <c r="E909" s="88">
        <f aca="true" t="shared" si="22" ref="E909:E919">F909-D909</f>
        <v>50000</v>
      </c>
      <c r="F909" s="6">
        <v>50000</v>
      </c>
      <c r="G909" s="6">
        <v>50000</v>
      </c>
      <c r="H909" s="133"/>
    </row>
    <row r="910" spans="1:8" ht="12.75">
      <c r="A910" s="41" t="s">
        <v>243</v>
      </c>
      <c r="B910" s="62" t="s">
        <v>127</v>
      </c>
      <c r="C910" s="6">
        <v>30000</v>
      </c>
      <c r="D910" s="191">
        <v>0</v>
      </c>
      <c r="E910" s="88">
        <f t="shared" si="22"/>
        <v>30000</v>
      </c>
      <c r="F910" s="6">
        <v>30000</v>
      </c>
      <c r="G910" s="6">
        <v>30000</v>
      </c>
      <c r="H910" s="133"/>
    </row>
    <row r="911" spans="1:8" ht="12.75">
      <c r="A911" s="41" t="s">
        <v>2</v>
      </c>
      <c r="B911" s="62" t="s">
        <v>128</v>
      </c>
      <c r="C911" s="6">
        <v>54266</v>
      </c>
      <c r="D911" s="191">
        <v>19404.75</v>
      </c>
      <c r="E911" s="88">
        <f t="shared" si="22"/>
        <v>40595.25</v>
      </c>
      <c r="F911" s="6">
        <v>60000</v>
      </c>
      <c r="G911" s="6">
        <v>60000</v>
      </c>
      <c r="H911" s="133"/>
    </row>
    <row r="912" spans="1:8" ht="12.75">
      <c r="A912" s="29" t="s">
        <v>133</v>
      </c>
      <c r="B912" s="62" t="s">
        <v>134</v>
      </c>
      <c r="C912" s="6">
        <v>0</v>
      </c>
      <c r="D912" s="191">
        <v>0</v>
      </c>
      <c r="E912" s="88">
        <f t="shared" si="22"/>
        <v>2000</v>
      </c>
      <c r="F912" s="6">
        <v>2000</v>
      </c>
      <c r="G912" s="6">
        <v>2000</v>
      </c>
      <c r="H912" s="133"/>
    </row>
    <row r="913" spans="1:8" ht="12.75">
      <c r="A913" s="29" t="s">
        <v>47</v>
      </c>
      <c r="B913" s="62" t="s">
        <v>135</v>
      </c>
      <c r="C913" s="6">
        <v>0</v>
      </c>
      <c r="D913" s="191">
        <v>0</v>
      </c>
      <c r="E913" s="88">
        <f t="shared" si="22"/>
        <v>0</v>
      </c>
      <c r="F913" s="6">
        <v>0</v>
      </c>
      <c r="G913" s="6">
        <v>0</v>
      </c>
      <c r="H913" s="133"/>
    </row>
    <row r="914" spans="1:8" ht="12.75">
      <c r="A914" s="29" t="s">
        <v>15</v>
      </c>
      <c r="B914" s="62" t="s">
        <v>135</v>
      </c>
      <c r="C914" s="6">
        <v>84000</v>
      </c>
      <c r="D914" s="191">
        <v>42000</v>
      </c>
      <c r="E914" s="88">
        <f t="shared" si="22"/>
        <v>42000</v>
      </c>
      <c r="F914" s="6">
        <v>84000</v>
      </c>
      <c r="G914" s="6">
        <v>84000</v>
      </c>
      <c r="H914" s="133"/>
    </row>
    <row r="915" spans="1:8" ht="12" customHeight="1">
      <c r="A915" s="41" t="s">
        <v>45</v>
      </c>
      <c r="B915" s="63" t="s">
        <v>136</v>
      </c>
      <c r="C915" s="6">
        <v>0</v>
      </c>
      <c r="D915" s="6">
        <v>0</v>
      </c>
      <c r="E915" s="88">
        <f t="shared" si="22"/>
        <v>0</v>
      </c>
      <c r="F915" s="6">
        <v>0</v>
      </c>
      <c r="G915" s="6">
        <v>0</v>
      </c>
      <c r="H915" s="169"/>
    </row>
    <row r="916" spans="1:8" ht="12" customHeight="1">
      <c r="A916" s="29" t="s">
        <v>81</v>
      </c>
      <c r="B916" s="62" t="s">
        <v>137</v>
      </c>
      <c r="C916" s="285">
        <v>0</v>
      </c>
      <c r="D916" s="191">
        <v>0</v>
      </c>
      <c r="E916" s="88">
        <f t="shared" si="22"/>
        <v>0</v>
      </c>
      <c r="F916" s="285">
        <v>0</v>
      </c>
      <c r="G916" s="285">
        <v>0</v>
      </c>
      <c r="H916" s="169"/>
    </row>
    <row r="917" spans="1:8" ht="12.75" customHeight="1">
      <c r="A917" s="29" t="s">
        <v>253</v>
      </c>
      <c r="B917" s="62" t="s">
        <v>254</v>
      </c>
      <c r="C917" s="283">
        <v>231000</v>
      </c>
      <c r="D917" s="152">
        <v>35000</v>
      </c>
      <c r="E917" s="152">
        <f t="shared" si="22"/>
        <v>112000</v>
      </c>
      <c r="F917" s="283">
        <v>147000</v>
      </c>
      <c r="G917" s="283">
        <f>7500*12</f>
        <v>90000</v>
      </c>
      <c r="H917" s="16"/>
    </row>
    <row r="918" spans="1:8" ht="12.75" customHeight="1">
      <c r="A918" s="317" t="s">
        <v>354</v>
      </c>
      <c r="B918" s="62" t="s">
        <v>252</v>
      </c>
      <c r="C918" s="283"/>
      <c r="D918" s="152">
        <v>35000</v>
      </c>
      <c r="E918" s="167">
        <f t="shared" si="22"/>
        <v>49000</v>
      </c>
      <c r="F918" s="283">
        <v>84000</v>
      </c>
      <c r="G918" s="283">
        <v>0</v>
      </c>
      <c r="H918" s="16"/>
    </row>
    <row r="919" spans="1:11" ht="12.75">
      <c r="A919" s="41" t="s">
        <v>58</v>
      </c>
      <c r="B919" s="63" t="s">
        <v>153</v>
      </c>
      <c r="C919" s="123">
        <v>0</v>
      </c>
      <c r="D919" s="191">
        <v>0</v>
      </c>
      <c r="E919" s="88">
        <f t="shared" si="22"/>
        <v>0</v>
      </c>
      <c r="F919" s="123">
        <v>0</v>
      </c>
      <c r="G919" s="123">
        <v>200000</v>
      </c>
      <c r="H919" s="16"/>
      <c r="J919" s="14"/>
      <c r="K919" s="14"/>
    </row>
    <row r="920" spans="1:8" ht="12.75">
      <c r="A920" s="42"/>
      <c r="B920" s="42"/>
      <c r="C920" s="8"/>
      <c r="D920" s="8"/>
      <c r="E920" s="8"/>
      <c r="F920" s="8"/>
      <c r="G920" s="8"/>
      <c r="H920" s="2"/>
    </row>
    <row r="921" spans="1:11" ht="12.75">
      <c r="A921" s="43" t="s">
        <v>192</v>
      </c>
      <c r="B921" s="7"/>
      <c r="C921" s="8">
        <f>SUM(C909:C919)</f>
        <v>449266</v>
      </c>
      <c r="D921" s="8">
        <f>SUM(D909:D919)</f>
        <v>131404.75</v>
      </c>
      <c r="E921" s="8">
        <f>SUM(E909:E919)</f>
        <v>325595.25</v>
      </c>
      <c r="F921" s="8">
        <f>SUM(F909:F919)</f>
        <v>457000</v>
      </c>
      <c r="G921" s="8">
        <f>SUM(G909:G919)</f>
        <v>516000</v>
      </c>
      <c r="H921" s="59"/>
      <c r="J921" s="14"/>
      <c r="K921" s="14"/>
    </row>
    <row r="922" spans="1:8" ht="12.75">
      <c r="A922" s="7"/>
      <c r="B922" s="7"/>
      <c r="C922" s="8"/>
      <c r="D922" s="8"/>
      <c r="E922" s="8"/>
      <c r="F922" s="8"/>
      <c r="G922" s="8"/>
      <c r="H922" s="59"/>
    </row>
    <row r="923" spans="1:8" ht="12.75">
      <c r="A923" s="18" t="s">
        <v>44</v>
      </c>
      <c r="B923" s="7"/>
      <c r="C923" s="8"/>
      <c r="D923" s="8"/>
      <c r="E923" s="8"/>
      <c r="F923" s="8"/>
      <c r="G923" s="8"/>
      <c r="H923" s="59"/>
    </row>
    <row r="924" spans="1:13" ht="12.75">
      <c r="A924" s="29" t="s">
        <v>26</v>
      </c>
      <c r="B924" s="39" t="s">
        <v>155</v>
      </c>
      <c r="C924" s="6">
        <v>0</v>
      </c>
      <c r="D924" s="6">
        <v>0</v>
      </c>
      <c r="E924" s="88">
        <f>F924-D924</f>
        <v>0</v>
      </c>
      <c r="F924" s="6">
        <v>0</v>
      </c>
      <c r="G924" s="6">
        <v>0</v>
      </c>
      <c r="H924" s="16"/>
      <c r="L924" s="14"/>
      <c r="M924" s="14"/>
    </row>
    <row r="925" spans="1:13" ht="12.75">
      <c r="A925" s="29" t="s">
        <v>211</v>
      </c>
      <c r="B925" s="39" t="s">
        <v>156</v>
      </c>
      <c r="C925" s="6">
        <v>0</v>
      </c>
      <c r="D925" s="6">
        <v>0</v>
      </c>
      <c r="E925" s="88">
        <f>F925-D925</f>
        <v>0</v>
      </c>
      <c r="F925" s="6">
        <v>0</v>
      </c>
      <c r="G925" s="6">
        <v>0</v>
      </c>
      <c r="H925" s="16"/>
      <c r="M925" s="14"/>
    </row>
    <row r="926" spans="1:8" ht="12" customHeight="1">
      <c r="A926" s="29" t="s">
        <v>92</v>
      </c>
      <c r="B926" s="39" t="s">
        <v>157</v>
      </c>
      <c r="C926" s="139">
        <v>52110</v>
      </c>
      <c r="D926" s="6">
        <v>0</v>
      </c>
      <c r="E926" s="88">
        <f>F926-D926</f>
        <v>0</v>
      </c>
      <c r="F926" s="139">
        <v>0</v>
      </c>
      <c r="G926" s="139">
        <v>0</v>
      </c>
      <c r="H926" s="2"/>
    </row>
    <row r="927" spans="1:12" ht="12" customHeight="1">
      <c r="A927" s="37" t="s">
        <v>77</v>
      </c>
      <c r="B927" s="130"/>
      <c r="C927" s="8">
        <f>SUM(C924:C926)</f>
        <v>52110</v>
      </c>
      <c r="D927" s="8">
        <f>SUM(D924:D926)</f>
        <v>0</v>
      </c>
      <c r="E927" s="8">
        <f>SUM(E924:E926)</f>
        <v>0</v>
      </c>
      <c r="F927" s="8">
        <f>SUM(F924:F926)</f>
        <v>0</v>
      </c>
      <c r="G927" s="8">
        <f>SUM(G924:G926)</f>
        <v>0</v>
      </c>
      <c r="H927" s="2"/>
      <c r="L927" s="14"/>
    </row>
    <row r="928" spans="1:8" ht="12" customHeight="1">
      <c r="A928" s="7" t="s">
        <v>34</v>
      </c>
      <c r="B928" s="7"/>
      <c r="C928" s="8">
        <f>C895+C921+C927</f>
        <v>2137210.7199999997</v>
      </c>
      <c r="D928" s="8">
        <f>D895+D921+D927</f>
        <v>979880.5200000001</v>
      </c>
      <c r="E928" s="8">
        <f>E895+E921+E927</f>
        <v>1178575.91</v>
      </c>
      <c r="F928" s="8">
        <f>F895+F921+F927</f>
        <v>2158456.4299999997</v>
      </c>
      <c r="G928" s="8">
        <f>G895+G921+G927</f>
        <v>2248881.58</v>
      </c>
      <c r="H928" s="59"/>
    </row>
    <row r="929" spans="1:8" ht="12.75">
      <c r="A929" s="4"/>
      <c r="B929" s="4"/>
      <c r="C929" s="4"/>
      <c r="D929" s="4"/>
      <c r="E929" s="4"/>
      <c r="F929" s="4"/>
      <c r="G929" s="4"/>
      <c r="H929" s="59"/>
    </row>
    <row r="930" spans="1:8" ht="12.75" customHeight="1">
      <c r="A930" s="2"/>
      <c r="B930" s="2"/>
      <c r="C930" s="2"/>
      <c r="D930" s="2"/>
      <c r="E930" s="2"/>
      <c r="F930" s="2"/>
      <c r="G930" s="2"/>
      <c r="H930" s="2"/>
    </row>
    <row r="931" spans="1:8" ht="12.75">
      <c r="A931" s="2" t="s">
        <v>185</v>
      </c>
      <c r="B931" s="2" t="s">
        <v>186</v>
      </c>
      <c r="C931" s="2"/>
      <c r="D931" s="2"/>
      <c r="E931" s="161" t="s">
        <v>170</v>
      </c>
      <c r="F931" s="2"/>
      <c r="G931" s="59"/>
      <c r="H931" s="2"/>
    </row>
    <row r="932" spans="1:8" ht="12.75">
      <c r="A932" s="2"/>
      <c r="B932" s="2"/>
      <c r="C932" s="2"/>
      <c r="D932" s="2"/>
      <c r="E932" s="161"/>
      <c r="F932" s="2"/>
      <c r="G932" s="59"/>
      <c r="H932" s="2"/>
    </row>
    <row r="933" spans="1:8" ht="12.75">
      <c r="A933" s="2"/>
      <c r="B933" s="2"/>
      <c r="C933" s="2"/>
      <c r="D933" s="2"/>
      <c r="E933" s="161"/>
      <c r="F933" s="2"/>
      <c r="G933" s="2"/>
      <c r="H933" s="2"/>
    </row>
    <row r="934" spans="1:8" ht="12.75">
      <c r="A934" s="2"/>
      <c r="B934" s="22"/>
      <c r="C934" s="22"/>
      <c r="D934" s="22"/>
      <c r="E934" s="162"/>
      <c r="F934" s="22"/>
      <c r="G934" s="2"/>
      <c r="H934" s="2"/>
    </row>
    <row r="935" spans="1:8" ht="12.75">
      <c r="A935" s="336" t="s">
        <v>308</v>
      </c>
      <c r="B935" s="22" t="s">
        <v>277</v>
      </c>
      <c r="C935" s="22"/>
      <c r="D935" s="22"/>
      <c r="E935" s="162" t="s">
        <v>161</v>
      </c>
      <c r="F935" s="22"/>
      <c r="G935" s="2"/>
      <c r="H935" s="2"/>
    </row>
    <row r="936" spans="1:8" ht="12.75">
      <c r="A936" s="337" t="s">
        <v>309</v>
      </c>
      <c r="B936" s="2" t="s">
        <v>373</v>
      </c>
      <c r="C936" s="2"/>
      <c r="D936" s="2"/>
      <c r="E936" s="161" t="s">
        <v>25</v>
      </c>
      <c r="F936" s="2"/>
      <c r="G936" s="2"/>
      <c r="H936" s="2"/>
    </row>
    <row r="937" spans="1:8" ht="12.75">
      <c r="A937" s="2"/>
      <c r="B937" s="2"/>
      <c r="C937" s="2"/>
      <c r="D937" s="2"/>
      <c r="E937" s="161"/>
      <c r="F937" s="2"/>
      <c r="G937" s="2"/>
      <c r="H937" s="2"/>
    </row>
    <row r="938" spans="1:8" ht="12.75">
      <c r="A938" s="2"/>
      <c r="B938" s="2"/>
      <c r="C938" s="2"/>
      <c r="D938" s="2"/>
      <c r="E938" s="161"/>
      <c r="F938" s="2"/>
      <c r="G938" s="2"/>
      <c r="H938" s="2"/>
    </row>
    <row r="939" spans="1:8" ht="12.75">
      <c r="A939" s="2"/>
      <c r="B939" s="2"/>
      <c r="C939" s="2"/>
      <c r="D939" s="2"/>
      <c r="E939" s="161"/>
      <c r="F939" s="2"/>
      <c r="G939" s="2"/>
      <c r="H939" s="2"/>
    </row>
    <row r="940" spans="1:8" ht="12.75">
      <c r="A940" s="2"/>
      <c r="B940" s="2"/>
      <c r="C940" s="2"/>
      <c r="D940" s="2"/>
      <c r="E940" s="161"/>
      <c r="F940" s="2"/>
      <c r="G940" s="2"/>
      <c r="H940" s="54"/>
    </row>
    <row r="941" spans="1:8" ht="12.75">
      <c r="A941" s="2"/>
      <c r="B941" s="2"/>
      <c r="C941" s="2"/>
      <c r="D941" s="2"/>
      <c r="E941" s="161"/>
      <c r="F941" s="2"/>
      <c r="G941" s="2"/>
      <c r="H941" s="2"/>
    </row>
    <row r="942" spans="1:8" ht="12.75">
      <c r="A942" s="19" t="s">
        <v>208</v>
      </c>
      <c r="B942" s="2"/>
      <c r="C942" s="2"/>
      <c r="D942" s="2"/>
      <c r="E942" s="2"/>
      <c r="F942" s="2"/>
      <c r="G942" s="2"/>
      <c r="H942" s="2"/>
    </row>
    <row r="943" spans="1:8" ht="12.75">
      <c r="A943" s="19"/>
      <c r="B943" s="2"/>
      <c r="C943" s="2"/>
      <c r="D943" s="2"/>
      <c r="E943" s="2"/>
      <c r="F943" s="2"/>
      <c r="G943" s="2"/>
      <c r="H943" s="2"/>
    </row>
    <row r="944" spans="1:8" ht="12.75">
      <c r="A944" s="2"/>
      <c r="B944" s="2"/>
      <c r="C944" s="2"/>
      <c r="D944" s="2"/>
      <c r="E944" s="2"/>
      <c r="F944" s="2"/>
      <c r="G944" s="2"/>
      <c r="H944" s="2"/>
    </row>
    <row r="945" spans="1:8" ht="15">
      <c r="A945" s="474" t="s">
        <v>165</v>
      </c>
      <c r="B945" s="474"/>
      <c r="C945" s="474"/>
      <c r="D945" s="474"/>
      <c r="E945" s="474"/>
      <c r="F945" s="474"/>
      <c r="G945" s="474"/>
      <c r="H945" s="2"/>
    </row>
    <row r="946" spans="1:8" ht="15">
      <c r="A946" s="474" t="s">
        <v>172</v>
      </c>
      <c r="B946" s="474"/>
      <c r="C946" s="474"/>
      <c r="D946" s="474"/>
      <c r="E946" s="474"/>
      <c r="F946" s="474"/>
      <c r="G946" s="474"/>
      <c r="H946" s="2"/>
    </row>
    <row r="947" spans="1:8" ht="12.75">
      <c r="A947" s="54"/>
      <c r="B947" s="54"/>
      <c r="C947" s="54"/>
      <c r="D947" s="54"/>
      <c r="E947" s="54"/>
      <c r="F947" s="54"/>
      <c r="G947" s="54"/>
      <c r="H947" s="154"/>
    </row>
    <row r="948" spans="1:8" ht="12.75">
      <c r="A948" s="54"/>
      <c r="B948" s="54"/>
      <c r="C948" s="54"/>
      <c r="D948" s="54"/>
      <c r="E948" s="54"/>
      <c r="F948" s="54"/>
      <c r="G948" s="54"/>
      <c r="H948" s="154"/>
    </row>
    <row r="949" spans="1:8" ht="12.75">
      <c r="A949" s="21" t="s">
        <v>52</v>
      </c>
      <c r="B949" s="21" t="s">
        <v>184</v>
      </c>
      <c r="C949" s="21"/>
      <c r="D949" s="21"/>
      <c r="E949" s="21"/>
      <c r="F949" s="2"/>
      <c r="G949" s="2"/>
      <c r="H949" s="163"/>
    </row>
    <row r="950" spans="1:8" ht="12.75">
      <c r="A950" s="2"/>
      <c r="B950" s="2"/>
      <c r="C950" s="2"/>
      <c r="D950" s="2"/>
      <c r="E950" s="2"/>
      <c r="F950" s="2"/>
      <c r="G950" s="2"/>
      <c r="H950" s="154"/>
    </row>
    <row r="951" spans="1:8" ht="12.75">
      <c r="A951" s="23"/>
      <c r="B951" s="23"/>
      <c r="C951" s="475" t="s">
        <v>79</v>
      </c>
      <c r="D951" s="479" t="s">
        <v>166</v>
      </c>
      <c r="E951" s="480"/>
      <c r="F951" s="481"/>
      <c r="G951" s="482" t="s">
        <v>73</v>
      </c>
      <c r="H951" s="59"/>
    </row>
    <row r="952" spans="1:8" ht="12.75">
      <c r="A952" s="24" t="s">
        <v>167</v>
      </c>
      <c r="B952" s="304" t="s">
        <v>241</v>
      </c>
      <c r="C952" s="476"/>
      <c r="D952" s="24" t="s">
        <v>168</v>
      </c>
      <c r="E952" s="24" t="s">
        <v>169</v>
      </c>
      <c r="F952" s="477" t="s">
        <v>23</v>
      </c>
      <c r="G952" s="483"/>
      <c r="H952" s="59"/>
    </row>
    <row r="953" spans="1:8" ht="12.75">
      <c r="A953" s="24"/>
      <c r="B953" s="24"/>
      <c r="C953" s="24" t="s">
        <v>53</v>
      </c>
      <c r="D953" s="24" t="s">
        <v>53</v>
      </c>
      <c r="E953" s="156" t="s">
        <v>86</v>
      </c>
      <c r="F953" s="478"/>
      <c r="G953" s="3" t="s">
        <v>54</v>
      </c>
      <c r="H953" s="59"/>
    </row>
    <row r="954" spans="1:8" ht="12.75">
      <c r="A954" s="46">
        <v>1</v>
      </c>
      <c r="B954" s="46">
        <v>2</v>
      </c>
      <c r="C954" s="46">
        <v>3</v>
      </c>
      <c r="D954" s="90">
        <v>4</v>
      </c>
      <c r="E954" s="90">
        <v>5</v>
      </c>
      <c r="F954" s="90">
        <v>6</v>
      </c>
      <c r="G954" s="91">
        <v>7</v>
      </c>
      <c r="H954" s="59"/>
    </row>
    <row r="955" spans="1:8" ht="12.75">
      <c r="A955" s="5"/>
      <c r="B955" s="5"/>
      <c r="C955" s="5"/>
      <c r="D955" s="116"/>
      <c r="E955" s="116"/>
      <c r="F955" s="116"/>
      <c r="G955" s="5"/>
      <c r="H955" s="59"/>
    </row>
    <row r="956" spans="1:8" ht="15">
      <c r="A956" s="42" t="s">
        <v>43</v>
      </c>
      <c r="B956" s="72"/>
      <c r="C956" s="5"/>
      <c r="D956" s="116"/>
      <c r="E956" s="116"/>
      <c r="F956" s="116"/>
      <c r="G956" s="92"/>
      <c r="H956" s="59"/>
    </row>
    <row r="957" spans="1:8" ht="12.75">
      <c r="A957" s="41" t="s">
        <v>223</v>
      </c>
      <c r="B957" s="157" t="s">
        <v>113</v>
      </c>
      <c r="C957" s="6">
        <v>1727322</v>
      </c>
      <c r="D957" s="191">
        <v>894402</v>
      </c>
      <c r="E957" s="88">
        <f aca="true" t="shared" si="23" ref="E957:E970">F957-D957</f>
        <v>1355478</v>
      </c>
      <c r="F957" s="139">
        <v>2249880</v>
      </c>
      <c r="G957" s="139">
        <v>2322288</v>
      </c>
      <c r="H957" s="59"/>
    </row>
    <row r="958" spans="1:8" ht="12.75">
      <c r="A958" s="29" t="s">
        <v>100</v>
      </c>
      <c r="B958" s="157" t="s">
        <v>114</v>
      </c>
      <c r="C958" s="6">
        <v>94000</v>
      </c>
      <c r="D958" s="191">
        <v>48000</v>
      </c>
      <c r="E958" s="88">
        <f t="shared" si="23"/>
        <v>72000</v>
      </c>
      <c r="F958" s="139">
        <f>96000+24000</f>
        <v>120000</v>
      </c>
      <c r="G958" s="139">
        <f>96000+24000</f>
        <v>120000</v>
      </c>
      <c r="H958" s="59"/>
    </row>
    <row r="959" spans="1:8" ht="12.75">
      <c r="A959" s="41" t="s">
        <v>42</v>
      </c>
      <c r="B959" s="157" t="s">
        <v>115</v>
      </c>
      <c r="C959" s="6">
        <v>76500</v>
      </c>
      <c r="D959" s="191">
        <f>6375+6375+6375+6375+6375+6375</f>
        <v>38250</v>
      </c>
      <c r="E959" s="88">
        <f t="shared" si="23"/>
        <v>38250</v>
      </c>
      <c r="F959" s="139">
        <v>76500</v>
      </c>
      <c r="G959" s="139">
        <v>76500</v>
      </c>
      <c r="H959" s="59"/>
    </row>
    <row r="960" spans="1:8" ht="12.75">
      <c r="A960" s="41" t="s">
        <v>3</v>
      </c>
      <c r="B960" s="62" t="s">
        <v>159</v>
      </c>
      <c r="C960" s="6">
        <v>76500</v>
      </c>
      <c r="D960" s="191">
        <f>6375+6375+6375+6375+6375+6375</f>
        <v>38250</v>
      </c>
      <c r="E960" s="88">
        <f t="shared" si="23"/>
        <v>38250</v>
      </c>
      <c r="F960" s="139">
        <v>76500</v>
      </c>
      <c r="G960" s="139">
        <v>76500</v>
      </c>
      <c r="H960" s="59"/>
    </row>
    <row r="961" spans="1:8" ht="12.75">
      <c r="A961" s="41" t="s">
        <v>18</v>
      </c>
      <c r="B961" s="157" t="s">
        <v>116</v>
      </c>
      <c r="C961" s="6">
        <v>18000</v>
      </c>
      <c r="D961" s="191">
        <v>24000</v>
      </c>
      <c r="E961" s="88">
        <f t="shared" si="23"/>
        <v>6000</v>
      </c>
      <c r="F961" s="139">
        <v>30000</v>
      </c>
      <c r="G961" s="139">
        <v>30000</v>
      </c>
      <c r="H961" s="59"/>
    </row>
    <row r="962" spans="1:8" ht="12.75">
      <c r="A962" s="41" t="s">
        <v>175</v>
      </c>
      <c r="B962" s="157" t="s">
        <v>176</v>
      </c>
      <c r="C962" s="64">
        <v>20000</v>
      </c>
      <c r="D962" s="191">
        <v>0</v>
      </c>
      <c r="E962" s="88">
        <f t="shared" si="23"/>
        <v>25000</v>
      </c>
      <c r="F962" s="77">
        <v>25000</v>
      </c>
      <c r="G962" s="77">
        <v>25000</v>
      </c>
      <c r="H962" s="59"/>
    </row>
    <row r="963" spans="1:8" ht="12.75">
      <c r="A963" s="41" t="s">
        <v>27</v>
      </c>
      <c r="B963" s="157" t="s">
        <v>117</v>
      </c>
      <c r="C963" s="6">
        <v>20000</v>
      </c>
      <c r="D963" s="191">
        <v>0</v>
      </c>
      <c r="E963" s="88">
        <f t="shared" si="23"/>
        <v>25000</v>
      </c>
      <c r="F963" s="139">
        <v>25000</v>
      </c>
      <c r="G963" s="139">
        <v>25000</v>
      </c>
      <c r="H963" s="59"/>
    </row>
    <row r="964" spans="1:8" ht="12.75">
      <c r="A964" s="41" t="s">
        <v>96</v>
      </c>
      <c r="B964" s="157" t="s">
        <v>118</v>
      </c>
      <c r="C964" s="6">
        <v>144326</v>
      </c>
      <c r="D964" s="191">
        <v>0</v>
      </c>
      <c r="E964" s="88">
        <f t="shared" si="23"/>
        <v>187490</v>
      </c>
      <c r="F964" s="139">
        <f>F957/12</f>
        <v>187490</v>
      </c>
      <c r="G964" s="139">
        <f>G957/12</f>
        <v>193524</v>
      </c>
      <c r="H964" s="59"/>
    </row>
    <row r="965" spans="1:8" ht="12.75">
      <c r="A965" s="41" t="s">
        <v>173</v>
      </c>
      <c r="B965" s="157" t="s">
        <v>174</v>
      </c>
      <c r="C965" s="6">
        <v>144326</v>
      </c>
      <c r="D965" s="191">
        <v>149067</v>
      </c>
      <c r="E965" s="88">
        <f t="shared" si="23"/>
        <v>38423</v>
      </c>
      <c r="F965" s="139">
        <f>F957/12</f>
        <v>187490</v>
      </c>
      <c r="G965" s="139">
        <f>G957/12</f>
        <v>193524</v>
      </c>
      <c r="H965" s="59"/>
    </row>
    <row r="966" spans="1:8" ht="12.75">
      <c r="A966" s="41" t="s">
        <v>235</v>
      </c>
      <c r="B966" s="157" t="s">
        <v>119</v>
      </c>
      <c r="C966" s="6">
        <v>204176.34</v>
      </c>
      <c r="D966" s="191">
        <v>107328.24</v>
      </c>
      <c r="E966" s="88">
        <f t="shared" si="23"/>
        <v>162657.36</v>
      </c>
      <c r="F966" s="139">
        <f>F957*12%</f>
        <v>269985.6</v>
      </c>
      <c r="G966" s="139">
        <v>278674.56</v>
      </c>
      <c r="H966" s="59"/>
    </row>
    <row r="967" spans="1:8" ht="12.75">
      <c r="A967" s="41" t="s">
        <v>28</v>
      </c>
      <c r="B967" s="157" t="s">
        <v>120</v>
      </c>
      <c r="C967" s="6">
        <v>4700</v>
      </c>
      <c r="D967" s="191">
        <v>2400</v>
      </c>
      <c r="E967" s="88">
        <f t="shared" si="23"/>
        <v>3600</v>
      </c>
      <c r="F967" s="139">
        <v>6000</v>
      </c>
      <c r="G967" s="139">
        <v>6000</v>
      </c>
      <c r="H967" s="59"/>
    </row>
    <row r="968" spans="1:9" ht="12.75">
      <c r="A968" s="41" t="s">
        <v>69</v>
      </c>
      <c r="B968" s="157" t="s">
        <v>121</v>
      </c>
      <c r="C968" s="6">
        <v>21457.86</v>
      </c>
      <c r="D968" s="191">
        <v>12265.12</v>
      </c>
      <c r="E968" s="88">
        <f t="shared" si="23"/>
        <v>31732.399999999994</v>
      </c>
      <c r="F968" s="139">
        <v>43997.52</v>
      </c>
      <c r="G968" s="139">
        <v>52251.48</v>
      </c>
      <c r="H968" s="16"/>
      <c r="I968" s="14"/>
    </row>
    <row r="969" spans="1:8" ht="12.75">
      <c r="A969" s="29" t="s">
        <v>122</v>
      </c>
      <c r="B969" s="157" t="s">
        <v>123</v>
      </c>
      <c r="C969" s="6">
        <v>4650</v>
      </c>
      <c r="D969" s="191">
        <v>2400</v>
      </c>
      <c r="E969" s="88">
        <f t="shared" si="23"/>
        <v>3600</v>
      </c>
      <c r="F969" s="139">
        <v>6000</v>
      </c>
      <c r="G969" s="139">
        <v>6000</v>
      </c>
      <c r="H969" s="59"/>
    </row>
    <row r="970" spans="1:8" ht="12.75">
      <c r="A970" s="41" t="s">
        <v>99</v>
      </c>
      <c r="B970" s="157" t="s">
        <v>125</v>
      </c>
      <c r="C970" s="60">
        <f>C964*10*0.0481927</f>
        <v>69554.596202</v>
      </c>
      <c r="D970" s="191">
        <v>20856.36</v>
      </c>
      <c r="E970" s="88">
        <f t="shared" si="23"/>
        <v>69500.14</v>
      </c>
      <c r="F970" s="425">
        <v>90356.5</v>
      </c>
      <c r="G970" s="60">
        <v>93264.44</v>
      </c>
      <c r="H970" s="59"/>
    </row>
    <row r="971" spans="1:8" ht="12.75">
      <c r="A971" s="5"/>
      <c r="B971" s="33"/>
      <c r="C971" s="6"/>
      <c r="D971" s="6"/>
      <c r="E971" s="6"/>
      <c r="F971" s="6"/>
      <c r="G971" s="139"/>
      <c r="H971" s="59"/>
    </row>
    <row r="972" spans="1:9" ht="12.75">
      <c r="A972" s="18" t="s">
        <v>193</v>
      </c>
      <c r="B972" s="42"/>
      <c r="C972" s="8">
        <f>SUM(C957:C970)</f>
        <v>2625512.7962019998</v>
      </c>
      <c r="D972" s="8">
        <f>SUM(D957:D970)</f>
        <v>1337218.7200000002</v>
      </c>
      <c r="E972" s="8">
        <f>SUM(E957:E970)</f>
        <v>2056980.8999999997</v>
      </c>
      <c r="F972" s="8">
        <f>SUM(F957:F970)</f>
        <v>3394199.62</v>
      </c>
      <c r="G972" s="8">
        <f>SUM(G957:G970)</f>
        <v>3498526.48</v>
      </c>
      <c r="H972" s="59"/>
      <c r="I972" s="14"/>
    </row>
    <row r="973" spans="1:8" ht="12.75">
      <c r="A973" s="5"/>
      <c r="B973" s="33"/>
      <c r="C973" s="6"/>
      <c r="D973" s="6"/>
      <c r="E973" s="6"/>
      <c r="F973" s="6"/>
      <c r="G973" s="6"/>
      <c r="H973" s="59"/>
    </row>
    <row r="974" spans="1:8" ht="12.75">
      <c r="A974" s="5"/>
      <c r="B974" s="33"/>
      <c r="C974" s="6"/>
      <c r="D974" s="6"/>
      <c r="E974" s="6"/>
      <c r="F974" s="6"/>
      <c r="G974" s="6"/>
      <c r="H974" s="59"/>
    </row>
    <row r="975" spans="1:8" ht="12.75">
      <c r="A975" s="5"/>
      <c r="B975" s="33"/>
      <c r="C975" s="6"/>
      <c r="D975" s="6"/>
      <c r="E975" s="6"/>
      <c r="F975" s="6"/>
      <c r="G975" s="6"/>
      <c r="H975" s="59"/>
    </row>
    <row r="976" spans="1:8" ht="12.75">
      <c r="A976" s="179"/>
      <c r="B976" s="182"/>
      <c r="C976" s="183"/>
      <c r="D976" s="183"/>
      <c r="E976" s="183"/>
      <c r="F976" s="183"/>
      <c r="G976" s="183"/>
      <c r="H976" s="59"/>
    </row>
    <row r="977" spans="1:8" ht="12.75">
      <c r="A977" s="2"/>
      <c r="B977" s="36"/>
      <c r="C977" s="59"/>
      <c r="D977" s="59"/>
      <c r="E977" s="59"/>
      <c r="F977" s="59"/>
      <c r="G977" s="59"/>
      <c r="H977" s="59"/>
    </row>
    <row r="978" spans="1:8" ht="12.75">
      <c r="A978" s="2"/>
      <c r="B978" s="36"/>
      <c r="C978" s="59"/>
      <c r="D978" s="59"/>
      <c r="E978" s="59"/>
      <c r="F978" s="59"/>
      <c r="G978" s="59"/>
      <c r="H978" s="59"/>
    </row>
    <row r="979" spans="1:8" ht="12.75">
      <c r="A979" s="2"/>
      <c r="B979" s="36"/>
      <c r="C979" s="59"/>
      <c r="D979" s="59"/>
      <c r="E979" s="59"/>
      <c r="F979" s="59"/>
      <c r="G979" s="59"/>
      <c r="H979" s="59"/>
    </row>
    <row r="980" spans="1:8" ht="13.5" thickBot="1">
      <c r="A980" s="2"/>
      <c r="B980" s="184"/>
      <c r="C980" s="185"/>
      <c r="D980" s="185"/>
      <c r="E980" s="185"/>
      <c r="F980" s="185"/>
      <c r="G980" s="185"/>
      <c r="H980" s="59"/>
    </row>
    <row r="981" spans="1:8" ht="12.75">
      <c r="A981" s="335"/>
      <c r="B981" s="24"/>
      <c r="C981" s="475" t="s">
        <v>79</v>
      </c>
      <c r="D981" s="479" t="s">
        <v>166</v>
      </c>
      <c r="E981" s="480"/>
      <c r="F981" s="481"/>
      <c r="G981" s="482" t="s">
        <v>73</v>
      </c>
      <c r="H981" s="59"/>
    </row>
    <row r="982" spans="1:8" ht="12.75">
      <c r="A982" s="24" t="s">
        <v>167</v>
      </c>
      <c r="B982" s="304" t="s">
        <v>241</v>
      </c>
      <c r="C982" s="476"/>
      <c r="D982" s="24" t="s">
        <v>168</v>
      </c>
      <c r="E982" s="24" t="s">
        <v>169</v>
      </c>
      <c r="F982" s="477" t="s">
        <v>23</v>
      </c>
      <c r="G982" s="483"/>
      <c r="H982" s="59"/>
    </row>
    <row r="983" spans="1:8" ht="12" customHeight="1">
      <c r="A983" s="24"/>
      <c r="B983" s="24"/>
      <c r="C983" s="24" t="s">
        <v>53</v>
      </c>
      <c r="D983" s="24" t="s">
        <v>53</v>
      </c>
      <c r="E983" s="156" t="s">
        <v>86</v>
      </c>
      <c r="F983" s="478"/>
      <c r="G983" s="3" t="s">
        <v>54</v>
      </c>
      <c r="H983" s="59"/>
    </row>
    <row r="984" spans="1:8" ht="12.75">
      <c r="A984" s="46">
        <v>1</v>
      </c>
      <c r="B984" s="46">
        <v>2</v>
      </c>
      <c r="C984" s="46">
        <v>3</v>
      </c>
      <c r="D984" s="90">
        <v>4</v>
      </c>
      <c r="E984" s="90">
        <v>5</v>
      </c>
      <c r="F984" s="90">
        <v>6</v>
      </c>
      <c r="G984" s="91">
        <v>7</v>
      </c>
      <c r="H984" s="59"/>
    </row>
    <row r="985" spans="1:8" ht="14.25">
      <c r="A985" s="267" t="s">
        <v>178</v>
      </c>
      <c r="B985" s="160"/>
      <c r="C985" s="5"/>
      <c r="D985" s="5"/>
      <c r="E985" s="5"/>
      <c r="F985" s="5"/>
      <c r="G985" s="287"/>
      <c r="H985" s="59"/>
    </row>
    <row r="986" spans="1:8" ht="12.75">
      <c r="A986" s="29" t="s">
        <v>191</v>
      </c>
      <c r="B986" s="62" t="s">
        <v>126</v>
      </c>
      <c r="C986" s="282">
        <v>23550</v>
      </c>
      <c r="D986" s="191">
        <v>0</v>
      </c>
      <c r="E986" s="88">
        <f aca="true" t="shared" si="24" ref="E986:E999">F986-D986</f>
        <v>385040</v>
      </c>
      <c r="F986" s="282">
        <f>80000+305040</f>
        <v>385040</v>
      </c>
      <c r="G986" s="282">
        <v>80000</v>
      </c>
      <c r="H986" s="59"/>
    </row>
    <row r="987" spans="1:8" ht="12.75">
      <c r="A987" s="268" t="s">
        <v>210</v>
      </c>
      <c r="B987" s="62" t="s">
        <v>127</v>
      </c>
      <c r="C987" s="282">
        <v>90000</v>
      </c>
      <c r="D987" s="191">
        <v>4500</v>
      </c>
      <c r="E987" s="88">
        <f t="shared" si="24"/>
        <v>135500</v>
      </c>
      <c r="F987" s="282">
        <f>90000+50000</f>
        <v>140000</v>
      </c>
      <c r="G987" s="282">
        <v>90000</v>
      </c>
      <c r="H987" s="59"/>
    </row>
    <row r="988" spans="1:8" ht="12.75">
      <c r="A988" s="268" t="s">
        <v>2</v>
      </c>
      <c r="B988" s="62" t="s">
        <v>128</v>
      </c>
      <c r="C988" s="282">
        <v>60000</v>
      </c>
      <c r="D988" s="191">
        <v>2113.48</v>
      </c>
      <c r="E988" s="88">
        <f t="shared" si="24"/>
        <v>372486.52</v>
      </c>
      <c r="F988" s="282">
        <f>60000+314600</f>
        <v>374600</v>
      </c>
      <c r="G988" s="282">
        <v>60000</v>
      </c>
      <c r="H988" s="164"/>
    </row>
    <row r="989" spans="1:8" ht="12.75">
      <c r="A989" s="29" t="s">
        <v>63</v>
      </c>
      <c r="B989" s="62" t="s">
        <v>131</v>
      </c>
      <c r="C989" s="282">
        <v>680</v>
      </c>
      <c r="D989" s="191">
        <v>0</v>
      </c>
      <c r="E989" s="88">
        <f t="shared" si="24"/>
        <v>2000</v>
      </c>
      <c r="F989" s="282">
        <v>2000</v>
      </c>
      <c r="G989" s="282">
        <v>2000</v>
      </c>
      <c r="H989" s="164"/>
    </row>
    <row r="990" spans="1:8" ht="12.75">
      <c r="A990" s="29" t="s">
        <v>227</v>
      </c>
      <c r="B990" s="62" t="s">
        <v>135</v>
      </c>
      <c r="C990" s="282">
        <v>84000</v>
      </c>
      <c r="D990" s="64">
        <v>42000</v>
      </c>
      <c r="E990" s="88">
        <f t="shared" si="24"/>
        <v>75000</v>
      </c>
      <c r="F990" s="282">
        <f>84000+33000</f>
        <v>117000</v>
      </c>
      <c r="G990" s="282">
        <v>84000</v>
      </c>
      <c r="H990" s="59"/>
    </row>
    <row r="991" spans="1:8" ht="12.75">
      <c r="A991" s="268" t="s">
        <v>45</v>
      </c>
      <c r="B991" s="63" t="s">
        <v>135</v>
      </c>
      <c r="C991" s="282">
        <v>128100</v>
      </c>
      <c r="D991" s="191">
        <v>12000</v>
      </c>
      <c r="E991" s="88">
        <f t="shared" si="24"/>
        <v>512000</v>
      </c>
      <c r="F991" s="282">
        <v>524000</v>
      </c>
      <c r="G991" s="282">
        <f>24000</f>
        <v>24000</v>
      </c>
      <c r="H991" s="59"/>
    </row>
    <row r="992" spans="1:8" ht="12.75">
      <c r="A992" s="143" t="s">
        <v>350</v>
      </c>
      <c r="B992" s="58" t="s">
        <v>328</v>
      </c>
      <c r="C992" s="282">
        <v>721300</v>
      </c>
      <c r="D992" s="191">
        <v>0</v>
      </c>
      <c r="E992" s="88">
        <f t="shared" si="24"/>
        <v>0</v>
      </c>
      <c r="F992" s="282">
        <v>0</v>
      </c>
      <c r="G992" s="282">
        <v>0</v>
      </c>
      <c r="H992" s="59"/>
    </row>
    <row r="993" spans="1:8" ht="12.75">
      <c r="A993" s="29" t="s">
        <v>297</v>
      </c>
      <c r="B993" s="62" t="s">
        <v>213</v>
      </c>
      <c r="C993" s="282">
        <v>214725</v>
      </c>
      <c r="D993" s="191">
        <v>0</v>
      </c>
      <c r="E993" s="88">
        <f t="shared" si="24"/>
        <v>1091138</v>
      </c>
      <c r="F993" s="282">
        <f>200000+891138</f>
        <v>1091138</v>
      </c>
      <c r="G993" s="282">
        <v>0</v>
      </c>
      <c r="H993" s="59"/>
    </row>
    <row r="994" spans="1:8" ht="12.75">
      <c r="A994" s="29" t="s">
        <v>311</v>
      </c>
      <c r="B994" s="62" t="s">
        <v>249</v>
      </c>
      <c r="C994" s="282">
        <v>0</v>
      </c>
      <c r="D994" s="191">
        <v>0</v>
      </c>
      <c r="E994" s="88">
        <f t="shared" si="24"/>
        <v>0</v>
      </c>
      <c r="F994" s="282">
        <v>0</v>
      </c>
      <c r="G994" s="282">
        <v>0</v>
      </c>
      <c r="H994" s="59"/>
    </row>
    <row r="995" spans="1:8" ht="12.75">
      <c r="A995" s="29" t="s">
        <v>251</v>
      </c>
      <c r="B995" s="62" t="s">
        <v>252</v>
      </c>
      <c r="C995" s="282">
        <v>0</v>
      </c>
      <c r="D995" s="191">
        <v>0</v>
      </c>
      <c r="E995" s="88">
        <f t="shared" si="24"/>
        <v>0</v>
      </c>
      <c r="F995" s="282">
        <v>0</v>
      </c>
      <c r="G995" s="282">
        <v>0</v>
      </c>
      <c r="H995" s="59"/>
    </row>
    <row r="996" spans="1:11" ht="12.75">
      <c r="A996" s="29" t="s">
        <v>253</v>
      </c>
      <c r="B996" s="62" t="s">
        <v>254</v>
      </c>
      <c r="C996" s="282">
        <v>103140.97</v>
      </c>
      <c r="D996" s="191">
        <v>70700</v>
      </c>
      <c r="E996" s="88">
        <f t="shared" si="24"/>
        <v>1290435</v>
      </c>
      <c r="F996" s="282">
        <f>105600+1255535</f>
        <v>1361135</v>
      </c>
      <c r="G996" s="282">
        <f>(400*22*12)+300000</f>
        <v>405600</v>
      </c>
      <c r="H996" s="16"/>
      <c r="J996" s="14"/>
      <c r="K996" s="14"/>
    </row>
    <row r="997" spans="1:9" ht="12.75">
      <c r="A997" s="29" t="s">
        <v>146</v>
      </c>
      <c r="B997" s="62" t="s">
        <v>147</v>
      </c>
      <c r="C997" s="146">
        <v>0</v>
      </c>
      <c r="D997" s="191">
        <v>0</v>
      </c>
      <c r="E997" s="88">
        <f t="shared" si="24"/>
        <v>20000</v>
      </c>
      <c r="F997" s="146">
        <v>20000</v>
      </c>
      <c r="G997" s="146">
        <v>20000</v>
      </c>
      <c r="H997" s="165"/>
      <c r="I997" s="137"/>
    </row>
    <row r="998" spans="1:8" ht="12.75">
      <c r="A998" s="29" t="s">
        <v>270</v>
      </c>
      <c r="B998" s="62" t="s">
        <v>271</v>
      </c>
      <c r="C998" s="88">
        <v>43150</v>
      </c>
      <c r="D998" s="191">
        <v>5200</v>
      </c>
      <c r="E998" s="88">
        <f t="shared" si="24"/>
        <v>964520</v>
      </c>
      <c r="F998" s="88">
        <f>50000+919720</f>
        <v>969720</v>
      </c>
      <c r="G998" s="88">
        <v>300000</v>
      </c>
      <c r="H998" s="59"/>
    </row>
    <row r="999" spans="1:8" ht="12.75">
      <c r="A999" s="268" t="s">
        <v>58</v>
      </c>
      <c r="B999" s="63" t="s">
        <v>153</v>
      </c>
      <c r="C999" s="282">
        <v>497580</v>
      </c>
      <c r="D999" s="191">
        <v>0</v>
      </c>
      <c r="E999" s="88">
        <f t="shared" si="24"/>
        <v>790237.9400000001</v>
      </c>
      <c r="F999" s="282">
        <f>500000+244451.65+45786.29</f>
        <v>790237.9400000001</v>
      </c>
      <c r="G999" s="282">
        <v>1152400</v>
      </c>
      <c r="H999" s="118"/>
    </row>
    <row r="1000" spans="1:8" ht="12.75">
      <c r="A1000" s="348"/>
      <c r="B1000" s="63"/>
      <c r="C1000" s="123"/>
      <c r="D1000" s="8"/>
      <c r="E1000" s="88"/>
      <c r="F1000" s="123"/>
      <c r="G1000" s="123"/>
      <c r="H1000" s="59"/>
    </row>
    <row r="1001" spans="1:11" ht="11.25" customHeight="1">
      <c r="A1001" s="269" t="s">
        <v>192</v>
      </c>
      <c r="B1001" s="7"/>
      <c r="C1001" s="8">
        <f>SUM(C986:C1000)</f>
        <v>1966225.97</v>
      </c>
      <c r="D1001" s="8">
        <f>SUM(D986:D1000)</f>
        <v>136513.47999999998</v>
      </c>
      <c r="E1001" s="8">
        <f>SUM(E986:E1000)</f>
        <v>5638357.46</v>
      </c>
      <c r="F1001" s="8">
        <f>SUM(F986:F1000)</f>
        <v>5774870.94</v>
      </c>
      <c r="G1001" s="140">
        <f>SUM(G986:G1000)</f>
        <v>2218000</v>
      </c>
      <c r="H1001" s="59"/>
      <c r="J1001" s="14"/>
      <c r="K1001" s="14"/>
    </row>
    <row r="1002" spans="1:13" ht="12.75">
      <c r="A1002" s="269" t="s">
        <v>44</v>
      </c>
      <c r="B1002" s="5"/>
      <c r="C1002" s="5"/>
      <c r="D1002" s="5"/>
      <c r="E1002" s="5"/>
      <c r="F1002" s="5"/>
      <c r="G1002" s="71"/>
      <c r="H1002" s="16"/>
      <c r="L1002" s="14"/>
      <c r="M1002" s="14"/>
    </row>
    <row r="1003" spans="1:8" ht="12.75">
      <c r="A1003" s="29" t="s">
        <v>26</v>
      </c>
      <c r="B1003" s="39" t="s">
        <v>155</v>
      </c>
      <c r="C1003" s="123">
        <v>0</v>
      </c>
      <c r="D1003" s="6">
        <v>0</v>
      </c>
      <c r="E1003" s="88">
        <f>F1003-D1003</f>
        <v>0</v>
      </c>
      <c r="F1003" s="123">
        <v>0</v>
      </c>
      <c r="G1003" s="123">
        <v>0</v>
      </c>
      <c r="H1003" s="59"/>
    </row>
    <row r="1004" spans="1:13" ht="12.75">
      <c r="A1004" s="29" t="s">
        <v>211</v>
      </c>
      <c r="B1004" s="39" t="s">
        <v>156</v>
      </c>
      <c r="C1004" s="123">
        <v>0</v>
      </c>
      <c r="D1004" s="6">
        <v>0</v>
      </c>
      <c r="E1004" s="88">
        <f>F1004-D1004</f>
        <v>50000</v>
      </c>
      <c r="F1004" s="123">
        <f>50000</f>
        <v>50000</v>
      </c>
      <c r="G1004" s="123">
        <v>0</v>
      </c>
      <c r="H1004" s="16"/>
      <c r="M1004" s="14"/>
    </row>
    <row r="1005" spans="1:8" ht="12.75">
      <c r="A1005" s="29" t="s">
        <v>298</v>
      </c>
      <c r="B1005" s="39" t="s">
        <v>157</v>
      </c>
      <c r="C1005" s="123">
        <v>0</v>
      </c>
      <c r="D1005" s="6">
        <v>1050000</v>
      </c>
      <c r="E1005" s="88">
        <f>F1005-D1005</f>
        <v>0</v>
      </c>
      <c r="F1005" s="123">
        <f>1000000+50000</f>
        <v>1050000</v>
      </c>
      <c r="G1005" s="123">
        <v>0</v>
      </c>
      <c r="H1005" s="59"/>
    </row>
    <row r="1006" spans="1:8" ht="12.75">
      <c r="A1006" s="143" t="s">
        <v>110</v>
      </c>
      <c r="B1006" s="39" t="s">
        <v>158</v>
      </c>
      <c r="C1006" s="123">
        <v>0</v>
      </c>
      <c r="D1006" s="6"/>
      <c r="E1006" s="88">
        <f>F1006-D1006</f>
        <v>0</v>
      </c>
      <c r="F1006" s="123">
        <v>0</v>
      </c>
      <c r="G1006" s="123">
        <v>0</v>
      </c>
      <c r="H1006" s="59"/>
    </row>
    <row r="1007" spans="1:12" ht="12.75">
      <c r="A1007" s="269" t="s">
        <v>77</v>
      </c>
      <c r="B1007" s="7"/>
      <c r="C1007" s="8">
        <f>SUM(C1003:C1006)</f>
        <v>0</v>
      </c>
      <c r="D1007" s="8">
        <f>SUM(D1003:D1006)</f>
        <v>1050000</v>
      </c>
      <c r="E1007" s="8">
        <f>SUM(E1003:E1006)</f>
        <v>50000</v>
      </c>
      <c r="F1007" s="8">
        <f>SUM(F1003:F1006)</f>
        <v>1100000</v>
      </c>
      <c r="G1007" s="8">
        <f>SUM(G1003:G1006)</f>
        <v>0</v>
      </c>
      <c r="H1007" s="138"/>
      <c r="L1007" s="14"/>
    </row>
    <row r="1008" spans="1:8" ht="12.75">
      <c r="A1008" s="270" t="s">
        <v>34</v>
      </c>
      <c r="B1008" s="5"/>
      <c r="C1008" s="8">
        <f>C972+C1001+C1007</f>
        <v>4591738.766202</v>
      </c>
      <c r="D1008" s="8">
        <f>D972+D1001+D1007</f>
        <v>2523732.2</v>
      </c>
      <c r="E1008" s="8">
        <f>E972+E1001+E1007</f>
        <v>7745338.359999999</v>
      </c>
      <c r="F1008" s="8">
        <f>F972+F1001+F1007</f>
        <v>10269070.56</v>
      </c>
      <c r="G1008" s="8">
        <f>G972+G1001+G1007</f>
        <v>5716526.48</v>
      </c>
      <c r="H1008" s="59"/>
    </row>
    <row r="1009" spans="1:8" ht="8.25" customHeight="1">
      <c r="A1009" s="271"/>
      <c r="B1009" s="4"/>
      <c r="C1009" s="4"/>
      <c r="D1009" s="4"/>
      <c r="E1009" s="4"/>
      <c r="F1009" s="4"/>
      <c r="G1009" s="4"/>
      <c r="H1009" s="2"/>
    </row>
    <row r="1010" spans="1:8" ht="12.75">
      <c r="A1010" s="2"/>
      <c r="B1010" s="2"/>
      <c r="C1010" s="2"/>
      <c r="D1010" s="2"/>
      <c r="E1010" s="2"/>
      <c r="F1010" s="2"/>
      <c r="G1010" s="2"/>
      <c r="H1010" s="2"/>
    </row>
    <row r="1011" spans="1:8" ht="12" customHeight="1">
      <c r="A1011" s="2" t="s">
        <v>185</v>
      </c>
      <c r="B1011" s="2" t="s">
        <v>186</v>
      </c>
      <c r="C1011" s="2"/>
      <c r="D1011" s="2"/>
      <c r="E1011" s="161" t="s">
        <v>170</v>
      </c>
      <c r="F1011" s="2"/>
      <c r="G1011" s="59"/>
      <c r="H1011" s="2"/>
    </row>
    <row r="1012" spans="1:8" ht="12.75">
      <c r="A1012" s="2"/>
      <c r="B1012" s="2"/>
      <c r="C1012" s="2"/>
      <c r="D1012" s="2"/>
      <c r="E1012" s="161"/>
      <c r="F1012" s="2"/>
      <c r="G1012" s="2"/>
      <c r="H1012" s="2"/>
    </row>
    <row r="1013" spans="1:8" ht="12.75">
      <c r="A1013" s="2"/>
      <c r="B1013" s="22"/>
      <c r="C1013" s="22"/>
      <c r="D1013" s="22"/>
      <c r="E1013" s="162"/>
      <c r="F1013" s="22"/>
      <c r="G1013" s="2"/>
      <c r="H1013" s="2"/>
    </row>
    <row r="1014" spans="1:8" ht="12.75">
      <c r="A1014" s="22" t="s">
        <v>182</v>
      </c>
      <c r="B1014" s="22" t="s">
        <v>277</v>
      </c>
      <c r="C1014" s="22"/>
      <c r="D1014" s="22"/>
      <c r="E1014" s="162" t="s">
        <v>161</v>
      </c>
      <c r="F1014" s="22"/>
      <c r="G1014" s="2"/>
      <c r="H1014" s="2"/>
    </row>
    <row r="1015" spans="1:8" ht="12.75">
      <c r="A1015" s="2" t="s">
        <v>183</v>
      </c>
      <c r="B1015" s="2" t="s">
        <v>373</v>
      </c>
      <c r="C1015" s="2"/>
      <c r="D1015" s="2"/>
      <c r="E1015" s="161" t="s">
        <v>25</v>
      </c>
      <c r="F1015" s="2"/>
      <c r="G1015" s="2"/>
      <c r="H1015" s="2"/>
    </row>
    <row r="1016" spans="1:8" ht="15">
      <c r="A1016" s="2"/>
      <c r="B1016" s="2"/>
      <c r="C1016" s="2"/>
      <c r="D1016" s="2"/>
      <c r="E1016" s="161"/>
      <c r="F1016" s="2"/>
      <c r="G1016" s="2"/>
      <c r="H1016" s="53"/>
    </row>
    <row r="1017" spans="1:8" ht="12.75">
      <c r="A1017" s="2"/>
      <c r="B1017" s="2"/>
      <c r="C1017" s="2"/>
      <c r="D1017" s="2"/>
      <c r="E1017" s="161"/>
      <c r="F1017" s="2"/>
      <c r="G1017" s="2"/>
      <c r="H1017" s="2"/>
    </row>
    <row r="1018" spans="1:8" ht="12.75">
      <c r="A1018" s="2"/>
      <c r="B1018" s="2"/>
      <c r="C1018" s="2"/>
      <c r="D1018" s="2"/>
      <c r="E1018" s="161"/>
      <c r="F1018" s="2"/>
      <c r="G1018" s="2"/>
      <c r="H1018" s="2"/>
    </row>
    <row r="1019" spans="1:8" ht="12.75">
      <c r="A1019" s="2"/>
      <c r="B1019" s="2"/>
      <c r="C1019" s="2"/>
      <c r="D1019" s="2"/>
      <c r="E1019" s="161"/>
      <c r="F1019" s="2"/>
      <c r="G1019" s="2"/>
      <c r="H1019" s="2"/>
    </row>
    <row r="1020" spans="1:8" ht="12.75">
      <c r="A1020" s="2"/>
      <c r="B1020" s="2"/>
      <c r="C1020" s="2"/>
      <c r="D1020" s="2"/>
      <c r="E1020" s="161"/>
      <c r="F1020" s="2"/>
      <c r="G1020" s="2"/>
      <c r="H1020" s="2"/>
    </row>
    <row r="1021" spans="1:8" ht="12.75">
      <c r="A1021" s="19" t="s">
        <v>208</v>
      </c>
      <c r="B1021" s="2"/>
      <c r="C1021" s="2"/>
      <c r="D1021" s="2"/>
      <c r="E1021" s="2"/>
      <c r="F1021" s="2"/>
      <c r="G1021" s="2"/>
      <c r="H1021" s="2"/>
    </row>
    <row r="1022" spans="1:8" ht="12.75">
      <c r="A1022" s="19"/>
      <c r="B1022" s="2"/>
      <c r="C1022" s="2"/>
      <c r="D1022" s="2"/>
      <c r="E1022" s="2"/>
      <c r="F1022" s="2"/>
      <c r="G1022" s="2"/>
      <c r="H1022" s="2"/>
    </row>
    <row r="1023" spans="1:8" ht="12.75">
      <c r="A1023" s="2"/>
      <c r="B1023" s="2"/>
      <c r="C1023" s="2"/>
      <c r="D1023" s="2"/>
      <c r="E1023" s="2"/>
      <c r="F1023" s="2"/>
      <c r="G1023" s="2"/>
      <c r="H1023" s="2"/>
    </row>
    <row r="1024" spans="1:8" ht="15">
      <c r="A1024" s="474" t="s">
        <v>165</v>
      </c>
      <c r="B1024" s="474"/>
      <c r="C1024" s="474"/>
      <c r="D1024" s="474"/>
      <c r="E1024" s="474"/>
      <c r="F1024" s="474"/>
      <c r="G1024" s="474"/>
      <c r="H1024" s="154"/>
    </row>
    <row r="1025" spans="1:8" ht="15">
      <c r="A1025" s="474" t="s">
        <v>172</v>
      </c>
      <c r="B1025" s="474"/>
      <c r="C1025" s="474"/>
      <c r="D1025" s="474"/>
      <c r="E1025" s="474"/>
      <c r="F1025" s="474"/>
      <c r="G1025" s="474"/>
      <c r="H1025" s="154"/>
    </row>
    <row r="1026" spans="1:8" ht="12.75">
      <c r="A1026" s="54"/>
      <c r="B1026" s="54"/>
      <c r="C1026" s="54"/>
      <c r="D1026" s="54"/>
      <c r="E1026" s="54"/>
      <c r="F1026" s="54"/>
      <c r="G1026" s="54"/>
      <c r="H1026" s="163"/>
    </row>
    <row r="1027" spans="1:8" ht="12.75">
      <c r="A1027" s="54"/>
      <c r="B1027" s="54"/>
      <c r="C1027" s="54"/>
      <c r="D1027" s="54"/>
      <c r="E1027" s="54"/>
      <c r="F1027" s="54"/>
      <c r="G1027" s="54"/>
      <c r="H1027" s="2"/>
    </row>
    <row r="1028" spans="1:8" ht="12.75">
      <c r="A1028" s="21" t="s">
        <v>52</v>
      </c>
      <c r="B1028" s="21" t="s">
        <v>49</v>
      </c>
      <c r="C1028" s="21"/>
      <c r="D1028" s="21"/>
      <c r="E1028" s="21"/>
      <c r="F1028" s="2"/>
      <c r="G1028" s="2"/>
      <c r="H1028" s="2"/>
    </row>
    <row r="1029" spans="1:8" ht="12.75">
      <c r="A1029" s="2"/>
      <c r="B1029" s="2"/>
      <c r="C1029" s="2"/>
      <c r="D1029" s="2"/>
      <c r="E1029" s="2"/>
      <c r="F1029" s="2"/>
      <c r="G1029" s="2"/>
      <c r="H1029" s="59"/>
    </row>
    <row r="1030" spans="1:8" ht="12.75">
      <c r="A1030" s="23"/>
      <c r="B1030" s="23"/>
      <c r="C1030" s="475" t="s">
        <v>79</v>
      </c>
      <c r="D1030" s="479" t="s">
        <v>166</v>
      </c>
      <c r="E1030" s="480"/>
      <c r="F1030" s="481"/>
      <c r="G1030" s="482" t="s">
        <v>73</v>
      </c>
      <c r="H1030" s="164"/>
    </row>
    <row r="1031" spans="1:8" ht="12.75">
      <c r="A1031" s="24" t="s">
        <v>167</v>
      </c>
      <c r="B1031" s="304" t="s">
        <v>241</v>
      </c>
      <c r="C1031" s="476"/>
      <c r="D1031" s="24" t="s">
        <v>168</v>
      </c>
      <c r="E1031" s="24" t="s">
        <v>169</v>
      </c>
      <c r="F1031" s="477" t="s">
        <v>23</v>
      </c>
      <c r="G1031" s="483"/>
      <c r="H1031" s="164"/>
    </row>
    <row r="1032" spans="1:8" ht="12.75">
      <c r="A1032" s="24"/>
      <c r="B1032" s="24"/>
      <c r="C1032" s="24" t="s">
        <v>53</v>
      </c>
      <c r="D1032" s="24" t="s">
        <v>53</v>
      </c>
      <c r="E1032" s="156" t="s">
        <v>86</v>
      </c>
      <c r="F1032" s="478"/>
      <c r="G1032" s="3" t="s">
        <v>54</v>
      </c>
      <c r="H1032" s="59"/>
    </row>
    <row r="1033" spans="1:8" ht="12.75">
      <c r="A1033" s="46">
        <v>1</v>
      </c>
      <c r="B1033" s="46">
        <v>2</v>
      </c>
      <c r="C1033" s="46">
        <v>3</v>
      </c>
      <c r="D1033" s="90">
        <v>4</v>
      </c>
      <c r="E1033" s="90">
        <v>5</v>
      </c>
      <c r="F1033" s="90">
        <v>6</v>
      </c>
      <c r="G1033" s="91">
        <v>7</v>
      </c>
      <c r="H1033" s="59"/>
    </row>
    <row r="1034" spans="1:8" ht="12.75">
      <c r="A1034" s="5"/>
      <c r="B1034" s="5"/>
      <c r="C1034" s="5"/>
      <c r="D1034" s="116"/>
      <c r="E1034" s="116"/>
      <c r="F1034" s="116"/>
      <c r="G1034" s="5"/>
      <c r="H1034" s="164"/>
    </row>
    <row r="1035" spans="1:8" ht="15">
      <c r="A1035" s="18" t="s">
        <v>43</v>
      </c>
      <c r="B1035" s="72"/>
      <c r="C1035" s="5"/>
      <c r="D1035" s="116"/>
      <c r="E1035" s="116"/>
      <c r="F1035" s="116"/>
      <c r="G1035" s="92"/>
      <c r="H1035" s="164"/>
    </row>
    <row r="1036" spans="1:8" ht="12.75">
      <c r="A1036" s="41" t="s">
        <v>222</v>
      </c>
      <c r="B1036" s="157" t="s">
        <v>113</v>
      </c>
      <c r="C1036" s="6">
        <v>1442532</v>
      </c>
      <c r="D1036" s="191">
        <v>741784</v>
      </c>
      <c r="E1036" s="88">
        <f aca="true" t="shared" si="25" ref="E1036:E1049">F1036-D1036</f>
        <v>742148</v>
      </c>
      <c r="F1036" s="6">
        <v>1483932</v>
      </c>
      <c r="G1036" s="6">
        <v>1521504</v>
      </c>
      <c r="H1036" s="164"/>
    </row>
    <row r="1037" spans="1:8" ht="12.75">
      <c r="A1037" s="29" t="s">
        <v>100</v>
      </c>
      <c r="B1037" s="157" t="s">
        <v>114</v>
      </c>
      <c r="C1037" s="6">
        <v>96000</v>
      </c>
      <c r="D1037" s="191">
        <v>48000</v>
      </c>
      <c r="E1037" s="88">
        <f t="shared" si="25"/>
        <v>48000</v>
      </c>
      <c r="F1037" s="6">
        <v>96000</v>
      </c>
      <c r="G1037" s="6">
        <v>96000</v>
      </c>
      <c r="H1037" s="164"/>
    </row>
    <row r="1038" spans="1:8" ht="12.75">
      <c r="A1038" s="41" t="s">
        <v>42</v>
      </c>
      <c r="B1038" s="157" t="s">
        <v>115</v>
      </c>
      <c r="C1038" s="6">
        <v>76500</v>
      </c>
      <c r="D1038" s="191">
        <f>6375+6375+6375+6375+6375+6375</f>
        <v>38250</v>
      </c>
      <c r="E1038" s="88">
        <f t="shared" si="25"/>
        <v>38250</v>
      </c>
      <c r="F1038" s="6">
        <v>76500</v>
      </c>
      <c r="G1038" s="6">
        <v>76500</v>
      </c>
      <c r="H1038" s="164"/>
    </row>
    <row r="1039" spans="1:8" ht="12.75">
      <c r="A1039" s="41" t="s">
        <v>3</v>
      </c>
      <c r="B1039" s="62" t="s">
        <v>159</v>
      </c>
      <c r="C1039" s="6">
        <v>76500</v>
      </c>
      <c r="D1039" s="191">
        <f>6375+6375+6375+6375+6375+6375</f>
        <v>38250</v>
      </c>
      <c r="E1039" s="88">
        <f t="shared" si="25"/>
        <v>38250</v>
      </c>
      <c r="F1039" s="6">
        <v>76500</v>
      </c>
      <c r="G1039" s="6">
        <v>76500</v>
      </c>
      <c r="H1039" s="164"/>
    </row>
    <row r="1040" spans="1:8" ht="12.75">
      <c r="A1040" s="41" t="s">
        <v>18</v>
      </c>
      <c r="B1040" s="157" t="s">
        <v>116</v>
      </c>
      <c r="C1040" s="6">
        <v>24000</v>
      </c>
      <c r="D1040" s="191">
        <v>24000</v>
      </c>
      <c r="E1040" s="88">
        <f t="shared" si="25"/>
        <v>0</v>
      </c>
      <c r="F1040" s="6">
        <v>24000</v>
      </c>
      <c r="G1040" s="6">
        <v>24000</v>
      </c>
      <c r="H1040" s="164"/>
    </row>
    <row r="1041" spans="1:8" ht="12.75">
      <c r="A1041" s="41" t="s">
        <v>175</v>
      </c>
      <c r="B1041" s="157" t="s">
        <v>176</v>
      </c>
      <c r="C1041" s="64">
        <v>20000</v>
      </c>
      <c r="D1041" s="191">
        <v>0</v>
      </c>
      <c r="E1041" s="88">
        <f t="shared" si="25"/>
        <v>20000</v>
      </c>
      <c r="F1041" s="64">
        <v>20000</v>
      </c>
      <c r="G1041" s="64">
        <v>20000</v>
      </c>
      <c r="H1041" s="164"/>
    </row>
    <row r="1042" spans="1:8" ht="12.75">
      <c r="A1042" s="41" t="s">
        <v>27</v>
      </c>
      <c r="B1042" s="157" t="s">
        <v>117</v>
      </c>
      <c r="C1042" s="6">
        <v>20000</v>
      </c>
      <c r="D1042" s="191">
        <v>0</v>
      </c>
      <c r="E1042" s="88">
        <f t="shared" si="25"/>
        <v>20000</v>
      </c>
      <c r="F1042" s="6">
        <v>20000</v>
      </c>
      <c r="G1042" s="6">
        <v>20000</v>
      </c>
      <c r="H1042" s="164"/>
    </row>
    <row r="1043" spans="1:8" ht="12.75">
      <c r="A1043" s="41" t="s">
        <v>96</v>
      </c>
      <c r="B1043" s="157" t="s">
        <v>118</v>
      </c>
      <c r="C1043" s="6">
        <f>C1036/12</f>
        <v>120211</v>
      </c>
      <c r="D1043" s="191">
        <v>0</v>
      </c>
      <c r="E1043" s="88">
        <f t="shared" si="25"/>
        <v>123661</v>
      </c>
      <c r="F1043" s="6">
        <f>F1036/12</f>
        <v>123661</v>
      </c>
      <c r="G1043" s="6">
        <f>G1036/12</f>
        <v>126792</v>
      </c>
      <c r="H1043" s="164"/>
    </row>
    <row r="1044" spans="1:9" ht="12.75">
      <c r="A1044" s="41" t="s">
        <v>173</v>
      </c>
      <c r="B1044" s="157" t="s">
        <v>174</v>
      </c>
      <c r="C1044" s="6">
        <f>C1043</f>
        <v>120211</v>
      </c>
      <c r="D1044" s="191">
        <v>123661</v>
      </c>
      <c r="E1044" s="88">
        <f t="shared" si="25"/>
        <v>0</v>
      </c>
      <c r="F1044" s="6">
        <f>F1043</f>
        <v>123661</v>
      </c>
      <c r="G1044" s="6">
        <f>G1043</f>
        <v>126792</v>
      </c>
      <c r="H1044" s="164"/>
      <c r="I1044" s="14"/>
    </row>
    <row r="1045" spans="1:8" ht="12.75">
      <c r="A1045" s="41" t="s">
        <v>235</v>
      </c>
      <c r="B1045" s="157" t="s">
        <v>119</v>
      </c>
      <c r="C1045" s="6">
        <f>C1036*12%</f>
        <v>173103.84</v>
      </c>
      <c r="D1045" s="191">
        <v>89014.08</v>
      </c>
      <c r="E1045" s="88">
        <f t="shared" si="25"/>
        <v>89057.76</v>
      </c>
      <c r="F1045" s="6">
        <f>F1036*12%</f>
        <v>178071.84</v>
      </c>
      <c r="G1045" s="6">
        <v>182580.48</v>
      </c>
      <c r="H1045" s="59"/>
    </row>
    <row r="1046" spans="1:9" ht="12.75">
      <c r="A1046" s="41" t="s">
        <v>28</v>
      </c>
      <c r="B1046" s="157" t="s">
        <v>120</v>
      </c>
      <c r="C1046" s="6">
        <v>4800</v>
      </c>
      <c r="D1046" s="191">
        <v>2400</v>
      </c>
      <c r="E1046" s="88">
        <f t="shared" si="25"/>
        <v>2400</v>
      </c>
      <c r="F1046" s="6">
        <v>4800</v>
      </c>
      <c r="G1046" s="6">
        <v>4800</v>
      </c>
      <c r="H1046" s="16"/>
      <c r="I1046" s="14"/>
    </row>
    <row r="1047" spans="1:8" ht="12.75">
      <c r="A1047" s="41" t="s">
        <v>69</v>
      </c>
      <c r="B1047" s="157" t="s">
        <v>121</v>
      </c>
      <c r="C1047" s="6">
        <v>17573.76</v>
      </c>
      <c r="D1047" s="191">
        <v>9849.21</v>
      </c>
      <c r="E1047" s="88">
        <f t="shared" si="25"/>
        <v>18829.350000000002</v>
      </c>
      <c r="F1047" s="6">
        <v>28678.56</v>
      </c>
      <c r="G1047" s="6">
        <v>34233.84</v>
      </c>
      <c r="H1047" s="59"/>
    </row>
    <row r="1048" spans="1:8" ht="12.75">
      <c r="A1048" s="29" t="s">
        <v>122</v>
      </c>
      <c r="B1048" s="157" t="s">
        <v>123</v>
      </c>
      <c r="C1048" s="6">
        <v>4800</v>
      </c>
      <c r="D1048" s="191">
        <v>2400</v>
      </c>
      <c r="E1048" s="88">
        <f t="shared" si="25"/>
        <v>2400</v>
      </c>
      <c r="F1048" s="6">
        <v>4800</v>
      </c>
      <c r="G1048" s="6">
        <v>4800</v>
      </c>
      <c r="H1048" s="59"/>
    </row>
    <row r="1049" spans="1:8" ht="12.75">
      <c r="A1049" s="41" t="s">
        <v>99</v>
      </c>
      <c r="B1049" s="157" t="s">
        <v>125</v>
      </c>
      <c r="C1049" s="60">
        <v>52243.76</v>
      </c>
      <c r="D1049" s="191">
        <v>53585.46</v>
      </c>
      <c r="E1049" s="88">
        <f t="shared" si="25"/>
        <v>6010.110000000001</v>
      </c>
      <c r="F1049" s="60">
        <v>59595.57</v>
      </c>
      <c r="G1049" s="60">
        <v>61104.49</v>
      </c>
      <c r="H1049" s="59"/>
    </row>
    <row r="1050" spans="1:8" ht="12.75">
      <c r="A1050" s="5"/>
      <c r="B1050" s="33"/>
      <c r="C1050" s="6"/>
      <c r="D1050" s="6"/>
      <c r="E1050" s="6"/>
      <c r="F1050" s="6"/>
      <c r="G1050" s="6"/>
      <c r="H1050" s="59"/>
    </row>
    <row r="1051" spans="1:9" ht="12.75">
      <c r="A1051" s="18" t="s">
        <v>193</v>
      </c>
      <c r="B1051" s="42"/>
      <c r="C1051" s="8">
        <f>SUM(C1036:C1049)</f>
        <v>2248475.3599999994</v>
      </c>
      <c r="D1051" s="8">
        <f>SUM(D1036:D1049)</f>
        <v>1171193.75</v>
      </c>
      <c r="E1051" s="8">
        <f>SUM(E1036:E1049)</f>
        <v>1149006.2200000002</v>
      </c>
      <c r="F1051" s="8">
        <f>SUM(F1036:F1049)</f>
        <v>2320199.9699999997</v>
      </c>
      <c r="G1051" s="284">
        <f>SUM(G1036:G1049)</f>
        <v>2375606.81</v>
      </c>
      <c r="H1051" s="59"/>
      <c r="I1051" s="14"/>
    </row>
    <row r="1052" spans="1:8" ht="12.75">
      <c r="A1052" s="5"/>
      <c r="B1052" s="33"/>
      <c r="C1052" s="6"/>
      <c r="D1052" s="6"/>
      <c r="E1052" s="6"/>
      <c r="F1052" s="6"/>
      <c r="G1052" s="6"/>
      <c r="H1052" s="59"/>
    </row>
    <row r="1053" spans="1:8" ht="12.75">
      <c r="A1053" s="179"/>
      <c r="B1053" s="182"/>
      <c r="C1053" s="183"/>
      <c r="D1053" s="183"/>
      <c r="E1053" s="183"/>
      <c r="F1053" s="183"/>
      <c r="G1053" s="183"/>
      <c r="H1053" s="59"/>
    </row>
    <row r="1054" spans="1:8" ht="12.75">
      <c r="A1054" s="2"/>
      <c r="B1054" s="36"/>
      <c r="C1054" s="59"/>
      <c r="D1054" s="59"/>
      <c r="E1054" s="59"/>
      <c r="F1054" s="59"/>
      <c r="G1054" s="59"/>
      <c r="H1054" s="59"/>
    </row>
    <row r="1055" spans="1:8" ht="12.75">
      <c r="A1055" s="2"/>
      <c r="B1055" s="36"/>
      <c r="C1055" s="59"/>
      <c r="D1055" s="59"/>
      <c r="E1055" s="59"/>
      <c r="F1055" s="59"/>
      <c r="G1055" s="59"/>
      <c r="H1055" s="59"/>
    </row>
    <row r="1056" spans="1:8" ht="12.75">
      <c r="A1056" s="2"/>
      <c r="B1056" s="36"/>
      <c r="C1056" s="59"/>
      <c r="D1056" s="59"/>
      <c r="E1056" s="59"/>
      <c r="F1056" s="59"/>
      <c r="G1056" s="59"/>
      <c r="H1056" s="59"/>
    </row>
    <row r="1057" spans="1:8" ht="10.5" customHeight="1">
      <c r="A1057" s="2"/>
      <c r="B1057" s="36"/>
      <c r="C1057" s="59"/>
      <c r="D1057" s="59"/>
      <c r="E1057" s="59"/>
      <c r="F1057" s="59"/>
      <c r="G1057" s="59"/>
      <c r="H1057" s="59"/>
    </row>
    <row r="1058" spans="1:8" ht="20.25" customHeight="1">
      <c r="A1058" s="68"/>
      <c r="B1058" s="184"/>
      <c r="C1058" s="185"/>
      <c r="D1058" s="185"/>
      <c r="E1058" s="185"/>
      <c r="F1058" s="185"/>
      <c r="G1058" s="185"/>
      <c r="H1058" s="59"/>
    </row>
    <row r="1059" spans="1:8" ht="13.5" customHeight="1">
      <c r="A1059" s="24"/>
      <c r="B1059" s="24"/>
      <c r="C1059" s="475" t="s">
        <v>79</v>
      </c>
      <c r="D1059" s="479" t="s">
        <v>166</v>
      </c>
      <c r="E1059" s="480"/>
      <c r="F1059" s="481"/>
      <c r="G1059" s="482" t="s">
        <v>73</v>
      </c>
      <c r="H1059" s="59"/>
    </row>
    <row r="1060" spans="1:8" ht="12.75">
      <c r="A1060" s="24" t="s">
        <v>167</v>
      </c>
      <c r="B1060" s="304" t="s">
        <v>241</v>
      </c>
      <c r="C1060" s="476"/>
      <c r="D1060" s="24" t="s">
        <v>168</v>
      </c>
      <c r="E1060" s="24" t="s">
        <v>169</v>
      </c>
      <c r="F1060" s="477" t="s">
        <v>23</v>
      </c>
      <c r="G1060" s="483"/>
      <c r="H1060" s="59"/>
    </row>
    <row r="1061" spans="1:8" ht="12.75">
      <c r="A1061" s="24"/>
      <c r="B1061" s="24"/>
      <c r="C1061" s="24" t="s">
        <v>53</v>
      </c>
      <c r="D1061" s="24" t="s">
        <v>53</v>
      </c>
      <c r="E1061" s="156" t="s">
        <v>86</v>
      </c>
      <c r="F1061" s="478"/>
      <c r="G1061" s="3" t="s">
        <v>54</v>
      </c>
      <c r="H1061" s="133"/>
    </row>
    <row r="1062" spans="1:8" ht="12.75">
      <c r="A1062" s="46">
        <v>1</v>
      </c>
      <c r="B1062" s="46">
        <v>2</v>
      </c>
      <c r="C1062" s="46">
        <v>3</v>
      </c>
      <c r="D1062" s="90">
        <v>4</v>
      </c>
      <c r="E1062" s="90">
        <v>5</v>
      </c>
      <c r="F1062" s="90">
        <v>6</v>
      </c>
      <c r="G1062" s="91">
        <v>7</v>
      </c>
      <c r="H1062" s="133"/>
    </row>
    <row r="1063" spans="1:8" ht="0.75" customHeight="1">
      <c r="A1063" s="43" t="s">
        <v>178</v>
      </c>
      <c r="B1063" s="160"/>
      <c r="C1063" s="5"/>
      <c r="D1063" s="5"/>
      <c r="E1063" s="5"/>
      <c r="F1063" s="5"/>
      <c r="G1063" s="5"/>
      <c r="H1063" s="133"/>
    </row>
    <row r="1064" spans="1:8" ht="12.75" customHeight="1">
      <c r="A1064" s="29" t="s">
        <v>191</v>
      </c>
      <c r="B1064" s="62" t="s">
        <v>126</v>
      </c>
      <c r="C1064" s="6">
        <v>34670</v>
      </c>
      <c r="D1064" s="49">
        <v>30049</v>
      </c>
      <c r="E1064" s="88">
        <f aca="true" t="shared" si="26" ref="E1064:E1077">F1064-D1064</f>
        <v>119951</v>
      </c>
      <c r="F1064" s="6">
        <v>150000</v>
      </c>
      <c r="G1064" s="6">
        <v>150000</v>
      </c>
      <c r="H1064" s="133"/>
    </row>
    <row r="1065" spans="1:8" ht="12.75">
      <c r="A1065" s="41" t="s">
        <v>19</v>
      </c>
      <c r="B1065" s="62" t="s">
        <v>127</v>
      </c>
      <c r="C1065" s="6">
        <v>0</v>
      </c>
      <c r="D1065" s="49">
        <v>4300</v>
      </c>
      <c r="E1065" s="88">
        <f t="shared" si="26"/>
        <v>68100</v>
      </c>
      <c r="F1065" s="6">
        <f>52400+20000</f>
        <v>72400</v>
      </c>
      <c r="G1065" s="6">
        <v>37200</v>
      </c>
      <c r="H1065" s="133"/>
    </row>
    <row r="1066" spans="1:8" ht="12.75">
      <c r="A1066" s="41" t="s">
        <v>2</v>
      </c>
      <c r="B1066" s="62" t="s">
        <v>128</v>
      </c>
      <c r="C1066" s="6">
        <v>91441.21</v>
      </c>
      <c r="D1066" s="49">
        <v>2143</v>
      </c>
      <c r="E1066" s="88">
        <f t="shared" si="26"/>
        <v>148857</v>
      </c>
      <c r="F1066" s="6">
        <f>141000+50000-40000</f>
        <v>151000</v>
      </c>
      <c r="G1066" s="6">
        <v>137300</v>
      </c>
      <c r="H1066" s="133"/>
    </row>
    <row r="1067" spans="1:8" ht="12.75">
      <c r="A1067" s="371" t="s">
        <v>322</v>
      </c>
      <c r="B1067" s="361"/>
      <c r="C1067" s="139">
        <v>6500</v>
      </c>
      <c r="D1067" s="128">
        <v>0</v>
      </c>
      <c r="E1067" s="88">
        <f t="shared" si="26"/>
        <v>9000</v>
      </c>
      <c r="F1067" s="139">
        <v>9000</v>
      </c>
      <c r="G1067" s="139">
        <v>12700</v>
      </c>
      <c r="H1067" s="133"/>
    </row>
    <row r="1068" spans="1:8" ht="12.75">
      <c r="A1068" s="29" t="s">
        <v>63</v>
      </c>
      <c r="B1068" s="62" t="s">
        <v>131</v>
      </c>
      <c r="C1068" s="6">
        <v>1500</v>
      </c>
      <c r="D1068" s="49">
        <v>0</v>
      </c>
      <c r="E1068" s="88">
        <f t="shared" si="26"/>
        <v>2500</v>
      </c>
      <c r="F1068" s="6">
        <v>2500</v>
      </c>
      <c r="G1068" s="6">
        <v>2500</v>
      </c>
      <c r="H1068" s="133"/>
    </row>
    <row r="1069" spans="1:8" ht="12.75">
      <c r="A1069" s="29" t="s">
        <v>133</v>
      </c>
      <c r="B1069" s="62" t="s">
        <v>134</v>
      </c>
      <c r="C1069" s="6">
        <v>1949</v>
      </c>
      <c r="D1069" s="49">
        <v>740</v>
      </c>
      <c r="E1069" s="88">
        <f t="shared" si="26"/>
        <v>21760</v>
      </c>
      <c r="F1069" s="6">
        <v>22500</v>
      </c>
      <c r="G1069" s="6">
        <v>25000</v>
      </c>
      <c r="H1069" s="133"/>
    </row>
    <row r="1070" spans="1:8" ht="12.75">
      <c r="A1070" s="29" t="s">
        <v>227</v>
      </c>
      <c r="B1070" s="62" t="s">
        <v>135</v>
      </c>
      <c r="C1070" s="6">
        <v>84000</v>
      </c>
      <c r="D1070" s="49">
        <v>42000</v>
      </c>
      <c r="E1070" s="88">
        <f t="shared" si="26"/>
        <v>42000</v>
      </c>
      <c r="F1070" s="6">
        <v>84000</v>
      </c>
      <c r="G1070" s="6">
        <v>84000</v>
      </c>
      <c r="H1070" s="133"/>
    </row>
    <row r="1071" spans="1:8" ht="12.75">
      <c r="A1071" s="41" t="s">
        <v>45</v>
      </c>
      <c r="B1071" s="62" t="s">
        <v>136</v>
      </c>
      <c r="C1071" s="6">
        <v>21299</v>
      </c>
      <c r="D1071" s="6">
        <v>12000</v>
      </c>
      <c r="E1071" s="88">
        <f t="shared" si="26"/>
        <v>12000</v>
      </c>
      <c r="F1071" s="6">
        <v>24000</v>
      </c>
      <c r="G1071" s="6">
        <v>24000</v>
      </c>
      <c r="H1071" s="133"/>
    </row>
    <row r="1072" spans="1:8" ht="12.75">
      <c r="A1072" s="29" t="s">
        <v>326</v>
      </c>
      <c r="B1072" s="62" t="s">
        <v>327</v>
      </c>
      <c r="C1072" s="285">
        <v>0</v>
      </c>
      <c r="D1072" s="49">
        <v>0</v>
      </c>
      <c r="E1072" s="88">
        <f t="shared" si="26"/>
        <v>0</v>
      </c>
      <c r="F1072" s="285">
        <v>0</v>
      </c>
      <c r="G1072" s="285">
        <v>30000</v>
      </c>
      <c r="H1072" s="133"/>
    </row>
    <row r="1073" spans="1:8" ht="12.75">
      <c r="A1073" s="29" t="s">
        <v>253</v>
      </c>
      <c r="B1073" s="62" t="s">
        <v>254</v>
      </c>
      <c r="C1073" s="285">
        <v>140700</v>
      </c>
      <c r="D1073" s="49">
        <v>40400</v>
      </c>
      <c r="E1073" s="88">
        <f t="shared" si="26"/>
        <v>79600</v>
      </c>
      <c r="F1073" s="285">
        <v>120000</v>
      </c>
      <c r="G1073" s="285">
        <f>450*22*12</f>
        <v>118800</v>
      </c>
      <c r="H1073" s="133"/>
    </row>
    <row r="1074" spans="1:8" ht="12.75">
      <c r="A1074" s="29" t="s">
        <v>144</v>
      </c>
      <c r="B1074" s="62" t="s">
        <v>145</v>
      </c>
      <c r="C1074" s="285">
        <v>50550</v>
      </c>
      <c r="D1074" s="49">
        <v>0</v>
      </c>
      <c r="E1074" s="88">
        <f t="shared" si="26"/>
        <v>0</v>
      </c>
      <c r="F1074" s="285">
        <v>0</v>
      </c>
      <c r="G1074" s="285">
        <v>0</v>
      </c>
      <c r="H1074" s="133"/>
    </row>
    <row r="1075" spans="1:8" ht="13.5" customHeight="1">
      <c r="A1075" s="29" t="s">
        <v>146</v>
      </c>
      <c r="B1075" s="62" t="s">
        <v>147</v>
      </c>
      <c r="C1075" s="285">
        <v>59470</v>
      </c>
      <c r="D1075" s="49">
        <v>4180</v>
      </c>
      <c r="E1075" s="88">
        <f t="shared" si="26"/>
        <v>95820</v>
      </c>
      <c r="F1075" s="285">
        <v>100000</v>
      </c>
      <c r="G1075" s="285">
        <v>100000</v>
      </c>
      <c r="H1075" s="133"/>
    </row>
    <row r="1076" spans="1:8" ht="13.5" customHeight="1">
      <c r="A1076" s="29" t="s">
        <v>301</v>
      </c>
      <c r="B1076" s="62" t="s">
        <v>213</v>
      </c>
      <c r="C1076" s="285">
        <v>10000</v>
      </c>
      <c r="D1076" s="49">
        <v>4000</v>
      </c>
      <c r="E1076" s="88">
        <f t="shared" si="26"/>
        <v>36000</v>
      </c>
      <c r="F1076" s="285">
        <v>40000</v>
      </c>
      <c r="G1076" s="285">
        <v>20000</v>
      </c>
      <c r="H1076" s="133"/>
    </row>
    <row r="1077" spans="1:11" ht="12.75">
      <c r="A1077" s="29" t="s">
        <v>270</v>
      </c>
      <c r="B1077" s="62" t="s">
        <v>271</v>
      </c>
      <c r="C1077" s="88">
        <v>67800</v>
      </c>
      <c r="D1077" s="49">
        <v>6750</v>
      </c>
      <c r="E1077" s="88">
        <f t="shared" si="26"/>
        <v>43250</v>
      </c>
      <c r="F1077" s="88">
        <v>50000</v>
      </c>
      <c r="G1077" s="88">
        <v>50000</v>
      </c>
      <c r="H1077" s="16"/>
      <c r="J1077" s="14"/>
      <c r="K1077" s="14"/>
    </row>
    <row r="1078" spans="1:8" ht="12.75">
      <c r="A1078" s="41" t="s">
        <v>58</v>
      </c>
      <c r="B1078" s="63" t="s">
        <v>153</v>
      </c>
      <c r="C1078" s="6"/>
      <c r="D1078" s="191"/>
      <c r="E1078" s="88"/>
      <c r="F1078" s="6"/>
      <c r="G1078" s="6"/>
      <c r="H1078" s="171"/>
    </row>
    <row r="1079" spans="1:11" ht="12.75">
      <c r="A1079" s="65" t="s">
        <v>288</v>
      </c>
      <c r="B1079" s="63" t="s">
        <v>153</v>
      </c>
      <c r="C1079" s="6"/>
      <c r="D1079" s="191"/>
      <c r="E1079" s="88"/>
      <c r="F1079" s="6"/>
      <c r="G1079" s="6"/>
      <c r="H1079" s="118"/>
      <c r="J1079" s="14"/>
      <c r="K1079" s="14"/>
    </row>
    <row r="1080" spans="1:11" ht="12.75">
      <c r="A1080" s="65" t="s">
        <v>289</v>
      </c>
      <c r="B1080" s="63" t="s">
        <v>153</v>
      </c>
      <c r="C1080" s="6"/>
      <c r="D1080" s="191"/>
      <c r="E1080" s="88"/>
      <c r="F1080" s="6"/>
      <c r="G1080" s="6"/>
      <c r="H1080" s="85"/>
      <c r="J1080" s="14"/>
      <c r="K1080" s="14"/>
    </row>
    <row r="1081" spans="1:11" ht="12.75">
      <c r="A1081" s="43" t="s">
        <v>192</v>
      </c>
      <c r="B1081" s="7"/>
      <c r="C1081" s="140">
        <f>SUM(C1064:C1080)</f>
        <v>569879.21</v>
      </c>
      <c r="D1081" s="140">
        <f>SUM(D1064:D1080)</f>
        <v>146562</v>
      </c>
      <c r="E1081" s="140">
        <f>SUM(E1064:E1080)</f>
        <v>678838</v>
      </c>
      <c r="F1081" s="140">
        <f>SUM(F1064:F1080)</f>
        <v>825400</v>
      </c>
      <c r="G1081" s="140">
        <f>SUM(G1064:G1080)</f>
        <v>791500</v>
      </c>
      <c r="H1081" s="133"/>
      <c r="J1081" s="14"/>
      <c r="K1081" s="14"/>
    </row>
    <row r="1082" spans="1:8" ht="8.25" customHeight="1">
      <c r="A1082" s="5"/>
      <c r="B1082" s="5"/>
      <c r="C1082" s="6"/>
      <c r="D1082" s="6"/>
      <c r="E1082" s="6"/>
      <c r="F1082" s="136"/>
      <c r="G1082" s="373"/>
      <c r="H1082" s="133"/>
    </row>
    <row r="1083" spans="1:8" ht="12.75">
      <c r="A1083" s="43" t="s">
        <v>44</v>
      </c>
      <c r="B1083" s="5"/>
      <c r="C1083" s="6"/>
      <c r="D1083" s="6"/>
      <c r="E1083" s="6"/>
      <c r="F1083" s="6"/>
      <c r="G1083" s="139"/>
      <c r="H1083" s="133"/>
    </row>
    <row r="1084" spans="1:12" ht="12" customHeight="1">
      <c r="A1084" s="29" t="s">
        <v>26</v>
      </c>
      <c r="B1084" s="39" t="s">
        <v>155</v>
      </c>
      <c r="C1084" s="6">
        <v>0</v>
      </c>
      <c r="D1084" s="6">
        <v>0</v>
      </c>
      <c r="E1084" s="88">
        <f>F1084-D1084</f>
        <v>0</v>
      </c>
      <c r="F1084" s="6">
        <v>0</v>
      </c>
      <c r="G1084" s="6">
        <v>0</v>
      </c>
      <c r="H1084" s="16"/>
      <c r="L1084" s="14"/>
    </row>
    <row r="1085" spans="1:8" ht="15" customHeight="1">
      <c r="A1085" s="29" t="s">
        <v>211</v>
      </c>
      <c r="B1085" s="39" t="s">
        <v>156</v>
      </c>
      <c r="C1085" s="6">
        <v>0</v>
      </c>
      <c r="D1085" s="6">
        <v>0</v>
      </c>
      <c r="E1085" s="88">
        <f>F1085-D1085</f>
        <v>100000</v>
      </c>
      <c r="F1085" s="6">
        <v>100000</v>
      </c>
      <c r="G1085" s="6">
        <v>0</v>
      </c>
      <c r="H1085" s="2"/>
    </row>
    <row r="1086" spans="1:13" ht="12.75" customHeight="1">
      <c r="A1086" s="29" t="s">
        <v>92</v>
      </c>
      <c r="B1086" s="39" t="s">
        <v>157</v>
      </c>
      <c r="C1086" s="6">
        <v>0</v>
      </c>
      <c r="D1086" s="6">
        <v>0</v>
      </c>
      <c r="E1086" s="88">
        <f>F1086-D1086</f>
        <v>75000</v>
      </c>
      <c r="F1086" s="6">
        <v>75000</v>
      </c>
      <c r="G1086" s="6">
        <v>0</v>
      </c>
      <c r="H1086" s="16"/>
      <c r="L1086" s="45"/>
      <c r="M1086" s="14"/>
    </row>
    <row r="1087" spans="1:8" ht="12.75">
      <c r="A1087" s="29" t="s">
        <v>110</v>
      </c>
      <c r="B1087" s="39" t="s">
        <v>158</v>
      </c>
      <c r="C1087" s="6">
        <v>0</v>
      </c>
      <c r="D1087" s="6">
        <v>0</v>
      </c>
      <c r="E1087" s="88">
        <f>F1087-D1087</f>
        <v>75000</v>
      </c>
      <c r="F1087" s="6">
        <v>75000</v>
      </c>
      <c r="G1087" s="6">
        <v>0</v>
      </c>
      <c r="H1087" s="59"/>
    </row>
    <row r="1088" spans="1:12" ht="12.75">
      <c r="A1088" s="43" t="s">
        <v>77</v>
      </c>
      <c r="B1088" s="5"/>
      <c r="C1088" s="8">
        <f>SUM(C1084:C1087)</f>
        <v>0</v>
      </c>
      <c r="D1088" s="8">
        <f>SUM(D1084:D1087)</f>
        <v>0</v>
      </c>
      <c r="E1088" s="8">
        <f>SUM(E1084:E1087)</f>
        <v>250000</v>
      </c>
      <c r="F1088" s="8">
        <f>SUM(F1084:F1087)</f>
        <v>250000</v>
      </c>
      <c r="G1088" s="140">
        <f>SUM(G1084:G1087)</f>
        <v>0</v>
      </c>
      <c r="H1088" s="2"/>
      <c r="L1088" s="14"/>
    </row>
    <row r="1089" spans="1:8" ht="12.75">
      <c r="A1089" s="5"/>
      <c r="B1089" s="5"/>
      <c r="C1089" s="6"/>
      <c r="D1089" s="6"/>
      <c r="E1089" s="6"/>
      <c r="F1089" s="6"/>
      <c r="G1089" s="136"/>
      <c r="H1089" s="2"/>
    </row>
    <row r="1090" spans="1:9" ht="12.75">
      <c r="A1090" s="7" t="s">
        <v>34</v>
      </c>
      <c r="B1090" s="7"/>
      <c r="C1090" s="8">
        <f>C1051+C1081+C1088</f>
        <v>2818354.5699999994</v>
      </c>
      <c r="D1090" s="8">
        <f>D1051+D1081+D1088</f>
        <v>1317755.75</v>
      </c>
      <c r="E1090" s="8">
        <f>E1051+E1081+E1088</f>
        <v>2077844.2200000002</v>
      </c>
      <c r="F1090" s="8">
        <f>F1051+F1081+F1088</f>
        <v>3395599.9699999997</v>
      </c>
      <c r="G1090" s="8">
        <f>G1051+G1081+G1088</f>
        <v>3167106.81</v>
      </c>
      <c r="H1090" s="59"/>
      <c r="I1090" s="11"/>
    </row>
    <row r="1091" spans="1:8" ht="12.75">
      <c r="A1091" s="4"/>
      <c r="B1091" s="4"/>
      <c r="C1091" s="10"/>
      <c r="D1091" s="10"/>
      <c r="E1091" s="10"/>
      <c r="F1091" s="10"/>
      <c r="G1091" s="10"/>
      <c r="H1091" s="2"/>
    </row>
    <row r="1092" spans="1:9" ht="6" customHeight="1">
      <c r="A1092" s="2"/>
      <c r="B1092" s="2"/>
      <c r="C1092" s="2"/>
      <c r="D1092" s="2"/>
      <c r="E1092" s="2"/>
      <c r="F1092" s="59"/>
      <c r="G1092" s="138"/>
      <c r="H1092" s="2"/>
      <c r="I1092" s="14"/>
    </row>
    <row r="1093" spans="1:8" ht="12.75">
      <c r="A1093" s="2" t="s">
        <v>185</v>
      </c>
      <c r="B1093" s="2" t="s">
        <v>186</v>
      </c>
      <c r="C1093" s="2"/>
      <c r="D1093" s="2"/>
      <c r="E1093" s="161" t="s">
        <v>170</v>
      </c>
      <c r="F1093" s="59"/>
      <c r="G1093" s="59"/>
      <c r="H1093" s="2"/>
    </row>
    <row r="1094" spans="1:8" ht="12.75">
      <c r="A1094" s="2"/>
      <c r="B1094" s="2"/>
      <c r="C1094" s="2"/>
      <c r="D1094" s="2"/>
      <c r="E1094" s="161"/>
      <c r="F1094" s="2"/>
      <c r="G1094" s="2"/>
      <c r="H1094" s="2"/>
    </row>
    <row r="1095" spans="1:8" ht="8.25" customHeight="1">
      <c r="A1095" s="2"/>
      <c r="B1095" s="2"/>
      <c r="C1095" s="2"/>
      <c r="D1095" s="2"/>
      <c r="E1095" s="161"/>
      <c r="F1095" s="2"/>
      <c r="G1095" s="2"/>
      <c r="H1095" s="2"/>
    </row>
    <row r="1096" spans="1:8" ht="12.75">
      <c r="A1096" s="2"/>
      <c r="B1096" s="22"/>
      <c r="C1096" s="22"/>
      <c r="D1096" s="22"/>
      <c r="E1096" s="162"/>
      <c r="F1096" s="22"/>
      <c r="G1096" s="2"/>
      <c r="H1096" s="2"/>
    </row>
    <row r="1097" spans="1:8" ht="12.75">
      <c r="A1097" s="22" t="s">
        <v>181</v>
      </c>
      <c r="B1097" s="22" t="s">
        <v>277</v>
      </c>
      <c r="C1097" s="22"/>
      <c r="D1097" s="22"/>
      <c r="E1097" s="162" t="s">
        <v>161</v>
      </c>
      <c r="F1097" s="22"/>
      <c r="G1097" s="2"/>
      <c r="H1097" s="2"/>
    </row>
    <row r="1098" spans="1:8" ht="12.75" customHeight="1">
      <c r="A1098" s="2" t="s">
        <v>49</v>
      </c>
      <c r="B1098" s="2" t="s">
        <v>373</v>
      </c>
      <c r="C1098" s="2"/>
      <c r="D1098" s="2"/>
      <c r="E1098" s="161" t="s">
        <v>25</v>
      </c>
      <c r="F1098" s="2"/>
      <c r="G1098" s="2"/>
      <c r="H1098" s="2"/>
    </row>
    <row r="1099" spans="1:8" ht="12.75" customHeight="1">
      <c r="A1099" s="2"/>
      <c r="B1099" s="2"/>
      <c r="C1099" s="2"/>
      <c r="D1099" s="2"/>
      <c r="E1099" s="161"/>
      <c r="F1099" s="2"/>
      <c r="G1099" s="2"/>
      <c r="H1099" s="2"/>
    </row>
    <row r="1100" spans="1:8" ht="15">
      <c r="A1100" s="19" t="s">
        <v>208</v>
      </c>
      <c r="B1100" s="2"/>
      <c r="C1100" s="2"/>
      <c r="D1100" s="2"/>
      <c r="E1100" s="2"/>
      <c r="F1100" s="2"/>
      <c r="G1100" s="2"/>
      <c r="H1100" s="53"/>
    </row>
    <row r="1101" spans="1:8" ht="15">
      <c r="A1101" s="19"/>
      <c r="B1101" s="2"/>
      <c r="C1101" s="2"/>
      <c r="D1101" s="2"/>
      <c r="E1101" s="2"/>
      <c r="F1101" s="2"/>
      <c r="G1101" s="2"/>
      <c r="H1101" s="53"/>
    </row>
    <row r="1102" spans="1:8" ht="12.75">
      <c r="A1102" s="2"/>
      <c r="B1102" s="2"/>
      <c r="C1102" s="2"/>
      <c r="D1102" s="2"/>
      <c r="E1102" s="2"/>
      <c r="F1102" s="2"/>
      <c r="G1102" s="2"/>
      <c r="H1102" s="54"/>
    </row>
    <row r="1103" spans="1:8" ht="15">
      <c r="A1103" s="474" t="s">
        <v>165</v>
      </c>
      <c r="B1103" s="474"/>
      <c r="C1103" s="474"/>
      <c r="D1103" s="474"/>
      <c r="E1103" s="474"/>
      <c r="F1103" s="474"/>
      <c r="G1103" s="474"/>
      <c r="H1103" s="54"/>
    </row>
    <row r="1104" spans="1:8" ht="15">
      <c r="A1104" s="474" t="s">
        <v>172</v>
      </c>
      <c r="B1104" s="474"/>
      <c r="C1104" s="474"/>
      <c r="D1104" s="474"/>
      <c r="E1104" s="474"/>
      <c r="F1104" s="474"/>
      <c r="G1104" s="474"/>
      <c r="H1104" s="2"/>
    </row>
    <row r="1105" spans="1:8" ht="12.75">
      <c r="A1105" s="54"/>
      <c r="B1105" s="54"/>
      <c r="C1105" s="54"/>
      <c r="D1105" s="54"/>
      <c r="E1105" s="54"/>
      <c r="F1105" s="54"/>
      <c r="G1105" s="54"/>
      <c r="H1105" s="2"/>
    </row>
    <row r="1106" spans="1:8" ht="12.75">
      <c r="A1106" s="54"/>
      <c r="B1106" s="54"/>
      <c r="C1106" s="54"/>
      <c r="D1106" s="54"/>
      <c r="E1106" s="54"/>
      <c r="F1106" s="54"/>
      <c r="G1106" s="54"/>
      <c r="H1106" s="2"/>
    </row>
    <row r="1107" spans="1:8" ht="12.75">
      <c r="A1107" s="21" t="s">
        <v>52</v>
      </c>
      <c r="B1107" s="21" t="s">
        <v>180</v>
      </c>
      <c r="C1107" s="21"/>
      <c r="D1107" s="21"/>
      <c r="E1107" s="21"/>
      <c r="F1107" s="2"/>
      <c r="G1107" s="2"/>
      <c r="H1107" s="154"/>
    </row>
    <row r="1108" spans="1:8" ht="12.75">
      <c r="A1108" s="2"/>
      <c r="B1108" s="2"/>
      <c r="C1108" s="2"/>
      <c r="D1108" s="2"/>
      <c r="E1108" s="2"/>
      <c r="F1108" s="2"/>
      <c r="G1108" s="2"/>
      <c r="H1108" s="154"/>
    </row>
    <row r="1109" spans="1:8" ht="12.75">
      <c r="A1109" s="23"/>
      <c r="B1109" s="23"/>
      <c r="C1109" s="475" t="s">
        <v>79</v>
      </c>
      <c r="D1109" s="479" t="s">
        <v>166</v>
      </c>
      <c r="E1109" s="480"/>
      <c r="F1109" s="481"/>
      <c r="G1109" s="482" t="s">
        <v>73</v>
      </c>
      <c r="H1109" s="154"/>
    </row>
    <row r="1110" spans="1:8" ht="12.75">
      <c r="A1110" s="24" t="s">
        <v>167</v>
      </c>
      <c r="B1110" s="304" t="s">
        <v>241</v>
      </c>
      <c r="C1110" s="476"/>
      <c r="D1110" s="24" t="s">
        <v>168</v>
      </c>
      <c r="E1110" s="24" t="s">
        <v>169</v>
      </c>
      <c r="F1110" s="477" t="s">
        <v>23</v>
      </c>
      <c r="G1110" s="483"/>
      <c r="H1110" s="163"/>
    </row>
    <row r="1111" spans="1:8" ht="12.75">
      <c r="A1111" s="24"/>
      <c r="B1111" s="24"/>
      <c r="C1111" s="24" t="s">
        <v>53</v>
      </c>
      <c r="D1111" s="24" t="s">
        <v>53</v>
      </c>
      <c r="E1111" s="156" t="s">
        <v>86</v>
      </c>
      <c r="F1111" s="478"/>
      <c r="G1111" s="3" t="s">
        <v>54</v>
      </c>
      <c r="H1111" s="2"/>
    </row>
    <row r="1112" spans="1:8" ht="15">
      <c r="A1112" s="46">
        <v>1</v>
      </c>
      <c r="B1112" s="46">
        <v>2</v>
      </c>
      <c r="C1112" s="46">
        <v>3</v>
      </c>
      <c r="D1112" s="90">
        <v>4</v>
      </c>
      <c r="E1112" s="90">
        <v>5</v>
      </c>
      <c r="F1112" s="90">
        <v>6</v>
      </c>
      <c r="G1112" s="91">
        <v>7</v>
      </c>
      <c r="H1112" s="172"/>
    </row>
    <row r="1113" spans="1:8" ht="12.75">
      <c r="A1113" s="5"/>
      <c r="B1113" s="5"/>
      <c r="C1113" s="5"/>
      <c r="D1113" s="116"/>
      <c r="E1113" s="116"/>
      <c r="F1113" s="116"/>
      <c r="G1113" s="5"/>
      <c r="H1113" s="133"/>
    </row>
    <row r="1114" spans="1:8" ht="15">
      <c r="A1114" s="18" t="s">
        <v>43</v>
      </c>
      <c r="B1114" s="72"/>
      <c r="C1114" s="5"/>
      <c r="D1114" s="116"/>
      <c r="E1114" s="116"/>
      <c r="F1114" s="116"/>
      <c r="G1114" s="92"/>
      <c r="H1114" s="133"/>
    </row>
    <row r="1115" spans="1:8" ht="12.75">
      <c r="A1115" s="41" t="s">
        <v>7</v>
      </c>
      <c r="B1115" s="157" t="s">
        <v>113</v>
      </c>
      <c r="C1115" s="281">
        <v>2170152</v>
      </c>
      <c r="D1115" s="191">
        <v>1118500</v>
      </c>
      <c r="E1115" s="88">
        <f aca="true" t="shared" si="27" ref="E1115:E1130">F1115-D1115</f>
        <v>1124024</v>
      </c>
      <c r="F1115" s="281">
        <v>2242524</v>
      </c>
      <c r="G1115" s="281">
        <f>2582472-132600-132600</f>
        <v>2317272</v>
      </c>
      <c r="H1115" s="133"/>
    </row>
    <row r="1116" spans="1:8" ht="12.75">
      <c r="A1116" s="41" t="s">
        <v>204</v>
      </c>
      <c r="B1116" s="157" t="s">
        <v>114</v>
      </c>
      <c r="C1116" s="281">
        <v>173893</v>
      </c>
      <c r="D1116" s="191">
        <v>127668</v>
      </c>
      <c r="E1116" s="88">
        <f t="shared" si="27"/>
        <v>127668</v>
      </c>
      <c r="F1116" s="281">
        <f>127668*2</f>
        <v>255336</v>
      </c>
      <c r="G1116" s="281">
        <f>132600*2</f>
        <v>265200</v>
      </c>
      <c r="H1116" s="133"/>
    </row>
    <row r="1117" spans="1:8" ht="12.75">
      <c r="A1117" s="29" t="s">
        <v>100</v>
      </c>
      <c r="B1117" s="157" t="s">
        <v>114</v>
      </c>
      <c r="C1117" s="281">
        <v>238687.5</v>
      </c>
      <c r="D1117" s="191">
        <v>132000</v>
      </c>
      <c r="E1117" s="88">
        <f t="shared" si="27"/>
        <v>132000</v>
      </c>
      <c r="F1117" s="281">
        <v>264000</v>
      </c>
      <c r="G1117" s="281">
        <v>264000</v>
      </c>
      <c r="H1117" s="133"/>
    </row>
    <row r="1118" spans="1:8" ht="12.75">
      <c r="A1118" s="41" t="s">
        <v>42</v>
      </c>
      <c r="B1118" s="157" t="s">
        <v>115</v>
      </c>
      <c r="C1118" s="123">
        <f>76500</f>
        <v>76500</v>
      </c>
      <c r="D1118" s="191">
        <f>6375+6375+6375+6375+6375+6375</f>
        <v>38250</v>
      </c>
      <c r="E1118" s="88">
        <f t="shared" si="27"/>
        <v>38250</v>
      </c>
      <c r="F1118" s="123">
        <f>76500</f>
        <v>76500</v>
      </c>
      <c r="G1118" s="123">
        <f>76500</f>
        <v>76500</v>
      </c>
      <c r="H1118" s="133"/>
    </row>
    <row r="1119" spans="1:8" ht="12.75">
      <c r="A1119" s="41" t="s">
        <v>3</v>
      </c>
      <c r="B1119" s="62" t="s">
        <v>159</v>
      </c>
      <c r="C1119" s="123">
        <f>76500</f>
        <v>76500</v>
      </c>
      <c r="D1119" s="191">
        <f>6375+6375+6375+6375+6375+6375</f>
        <v>38250</v>
      </c>
      <c r="E1119" s="88">
        <f t="shared" si="27"/>
        <v>38250</v>
      </c>
      <c r="F1119" s="123">
        <f>76500</f>
        <v>76500</v>
      </c>
      <c r="G1119" s="123">
        <f>76500</f>
        <v>76500</v>
      </c>
      <c r="H1119" s="133"/>
    </row>
    <row r="1120" spans="1:8" ht="12.75">
      <c r="A1120" s="41" t="s">
        <v>18</v>
      </c>
      <c r="B1120" s="157" t="s">
        <v>116</v>
      </c>
      <c r="C1120" s="281">
        <v>54000</v>
      </c>
      <c r="D1120" s="191">
        <v>66000</v>
      </c>
      <c r="E1120" s="88">
        <f t="shared" si="27"/>
        <v>0</v>
      </c>
      <c r="F1120" s="281">
        <v>66000</v>
      </c>
      <c r="G1120" s="281">
        <v>66000</v>
      </c>
      <c r="H1120" s="133"/>
    </row>
    <row r="1121" spans="1:8" ht="12.75">
      <c r="A1121" s="41" t="s">
        <v>175</v>
      </c>
      <c r="B1121" s="157" t="s">
        <v>176</v>
      </c>
      <c r="C1121" s="281">
        <v>50000</v>
      </c>
      <c r="D1121" s="191">
        <v>0</v>
      </c>
      <c r="E1121" s="88">
        <f t="shared" si="27"/>
        <v>55000</v>
      </c>
      <c r="F1121" s="281">
        <v>55000</v>
      </c>
      <c r="G1121" s="281">
        <v>55000</v>
      </c>
      <c r="H1121" s="133"/>
    </row>
    <row r="1122" spans="1:8" ht="12.75">
      <c r="A1122" s="41" t="s">
        <v>27</v>
      </c>
      <c r="B1122" s="157" t="s">
        <v>117</v>
      </c>
      <c r="C1122" s="281">
        <v>54000</v>
      </c>
      <c r="D1122" s="191">
        <v>0</v>
      </c>
      <c r="E1122" s="88">
        <f t="shared" si="27"/>
        <v>55000</v>
      </c>
      <c r="F1122" s="281">
        <v>55000</v>
      </c>
      <c r="G1122" s="281">
        <v>55000</v>
      </c>
      <c r="H1122" s="133"/>
    </row>
    <row r="1123" spans="1:8" ht="12.75">
      <c r="A1123" s="41" t="s">
        <v>96</v>
      </c>
      <c r="B1123" s="157" t="s">
        <v>118</v>
      </c>
      <c r="C1123" s="281">
        <v>199135.4</v>
      </c>
      <c r="D1123" s="191">
        <v>0</v>
      </c>
      <c r="E1123" s="88">
        <f t="shared" si="27"/>
        <v>208155</v>
      </c>
      <c r="F1123" s="281">
        <f>(F1115+F1116)/12</f>
        <v>208155</v>
      </c>
      <c r="G1123" s="281">
        <f>(G1115+G1116)/12</f>
        <v>215206</v>
      </c>
      <c r="H1123" s="133"/>
    </row>
    <row r="1124" spans="1:8" ht="12.75">
      <c r="A1124" s="41" t="s">
        <v>173</v>
      </c>
      <c r="B1124" s="157" t="s">
        <v>174</v>
      </c>
      <c r="C1124" s="281">
        <v>178728</v>
      </c>
      <c r="D1124" s="191">
        <v>207725</v>
      </c>
      <c r="E1124" s="88">
        <f t="shared" si="27"/>
        <v>430</v>
      </c>
      <c r="F1124" s="281">
        <f>F1123</f>
        <v>208155</v>
      </c>
      <c r="G1124" s="281">
        <f>G1123</f>
        <v>215206</v>
      </c>
      <c r="H1124" s="133"/>
    </row>
    <row r="1125" spans="1:11" ht="12.75">
      <c r="A1125" s="41" t="s">
        <v>235</v>
      </c>
      <c r="B1125" s="157" t="s">
        <v>119</v>
      </c>
      <c r="C1125" s="281">
        <v>275542.38</v>
      </c>
      <c r="D1125" s="191">
        <v>149540.16</v>
      </c>
      <c r="E1125" s="88">
        <f t="shared" si="27"/>
        <v>150203.04</v>
      </c>
      <c r="F1125" s="281">
        <f>(F1115+F1116)*12%</f>
        <v>299743.2</v>
      </c>
      <c r="G1125" s="281">
        <v>309896.64</v>
      </c>
      <c r="H1125" s="133"/>
      <c r="I1125" s="45"/>
      <c r="J1125" s="45"/>
      <c r="K1125" s="45"/>
    </row>
    <row r="1126" spans="1:8" ht="12.75">
      <c r="A1126" s="41" t="s">
        <v>28</v>
      </c>
      <c r="B1126" s="157" t="s">
        <v>120</v>
      </c>
      <c r="C1126" s="281">
        <v>12200</v>
      </c>
      <c r="D1126" s="191">
        <v>6600</v>
      </c>
      <c r="E1126" s="88">
        <f t="shared" si="27"/>
        <v>6600</v>
      </c>
      <c r="F1126" s="281">
        <v>13200</v>
      </c>
      <c r="G1126" s="281">
        <v>13200</v>
      </c>
      <c r="H1126" s="133"/>
    </row>
    <row r="1127" spans="1:8" ht="12.75">
      <c r="A1127" s="41" t="s">
        <v>69</v>
      </c>
      <c r="B1127" s="157" t="s">
        <v>121</v>
      </c>
      <c r="C1127" s="281">
        <v>30852.23</v>
      </c>
      <c r="D1127" s="191">
        <v>18086.09</v>
      </c>
      <c r="E1127" s="88">
        <f t="shared" si="27"/>
        <v>31514.710000000003</v>
      </c>
      <c r="F1127" s="281">
        <v>49600.8</v>
      </c>
      <c r="G1127" s="281">
        <v>58105.62</v>
      </c>
      <c r="H1127" s="133"/>
    </row>
    <row r="1128" spans="1:8" ht="12.75">
      <c r="A1128" s="29" t="s">
        <v>122</v>
      </c>
      <c r="B1128" s="157" t="s">
        <v>123</v>
      </c>
      <c r="C1128" s="281">
        <v>12150</v>
      </c>
      <c r="D1128" s="191">
        <v>6600</v>
      </c>
      <c r="E1128" s="88">
        <f t="shared" si="27"/>
        <v>6600</v>
      </c>
      <c r="F1128" s="281">
        <v>13200</v>
      </c>
      <c r="G1128" s="281">
        <v>13200</v>
      </c>
      <c r="H1128" s="133"/>
    </row>
    <row r="1129" spans="1:9" ht="12.75">
      <c r="A1129" s="41" t="s">
        <v>68</v>
      </c>
      <c r="B1129" s="157" t="s">
        <v>124</v>
      </c>
      <c r="C1129" s="281"/>
      <c r="D1129" s="191">
        <v>0</v>
      </c>
      <c r="E1129" s="88">
        <f t="shared" si="27"/>
        <v>156182.52</v>
      </c>
      <c r="F1129" s="281">
        <v>156182.52</v>
      </c>
      <c r="G1129" s="281">
        <v>0</v>
      </c>
      <c r="H1129" s="16"/>
      <c r="I1129" s="45"/>
    </row>
    <row r="1130" spans="1:8" ht="12.75">
      <c r="A1130" s="41" t="s">
        <v>99</v>
      </c>
      <c r="B1130" s="157" t="s">
        <v>125</v>
      </c>
      <c r="C1130" s="281">
        <v>69503.88</v>
      </c>
      <c r="D1130" s="191">
        <v>66351.23</v>
      </c>
      <c r="E1130" s="88">
        <f t="shared" si="27"/>
        <v>33964.28</v>
      </c>
      <c r="F1130" s="281">
        <v>100315.51</v>
      </c>
      <c r="G1130" s="60">
        <v>103713.58</v>
      </c>
      <c r="H1130" s="2"/>
    </row>
    <row r="1131" spans="1:8" ht="12.75">
      <c r="A1131" s="5"/>
      <c r="B1131" s="33"/>
      <c r="C1131" s="6"/>
      <c r="D1131" s="6"/>
      <c r="E1131" s="6"/>
      <c r="F1131" s="6"/>
      <c r="G1131" s="6"/>
      <c r="H1131" s="2"/>
    </row>
    <row r="1132" spans="1:9" ht="12.75">
      <c r="A1132" s="18" t="s">
        <v>193</v>
      </c>
      <c r="B1132" s="33"/>
      <c r="C1132" s="8">
        <f>SUM(C1115:C1130)</f>
        <v>3671844.3899999997</v>
      </c>
      <c r="D1132" s="8">
        <f>SUM(D1115:D1130)</f>
        <v>1975570.48</v>
      </c>
      <c r="E1132" s="8">
        <f>SUM(E1115:E1130)</f>
        <v>2163841.55</v>
      </c>
      <c r="F1132" s="8">
        <f>SUM(F1115:F1130)</f>
        <v>4139412.03</v>
      </c>
      <c r="G1132" s="8">
        <f>SUM(G1115:G1130)</f>
        <v>4103999.8400000003</v>
      </c>
      <c r="H1132" s="2"/>
      <c r="I1132" s="14"/>
    </row>
    <row r="1133" spans="1:8" ht="12.75">
      <c r="A1133" s="5"/>
      <c r="B1133" s="33"/>
      <c r="C1133" s="6"/>
      <c r="D1133" s="6"/>
      <c r="E1133" s="6"/>
      <c r="F1133" s="6"/>
      <c r="G1133" s="6"/>
      <c r="H1133" s="2"/>
    </row>
    <row r="1134" spans="1:8" ht="7.5" customHeight="1">
      <c r="A1134" s="179"/>
      <c r="B1134" s="182"/>
      <c r="C1134" s="183"/>
      <c r="D1134" s="183"/>
      <c r="E1134" s="183"/>
      <c r="F1134" s="183"/>
      <c r="G1134" s="183"/>
      <c r="H1134" s="2"/>
    </row>
    <row r="1135" spans="1:8" ht="7.5" customHeight="1">
      <c r="A1135" s="2"/>
      <c r="B1135" s="36"/>
      <c r="C1135" s="59"/>
      <c r="D1135" s="59"/>
      <c r="E1135" s="59"/>
      <c r="F1135" s="59"/>
      <c r="G1135" s="59"/>
      <c r="H1135" s="2"/>
    </row>
    <row r="1136" spans="1:8" ht="12.75">
      <c r="A1136" s="2"/>
      <c r="B1136" s="36"/>
      <c r="C1136" s="59"/>
      <c r="D1136" s="59"/>
      <c r="E1136" s="59"/>
      <c r="F1136" s="59"/>
      <c r="G1136" s="59"/>
      <c r="H1136" s="2"/>
    </row>
    <row r="1137" spans="1:8" ht="24" customHeight="1">
      <c r="A1137" s="2"/>
      <c r="B1137" s="36"/>
      <c r="C1137" s="59"/>
      <c r="D1137" s="185"/>
      <c r="E1137" s="185"/>
      <c r="F1137" s="185"/>
      <c r="G1137" s="59"/>
      <c r="H1137" s="2"/>
    </row>
    <row r="1138" spans="1:8" ht="12.75">
      <c r="A1138" s="23"/>
      <c r="B1138" s="23"/>
      <c r="C1138" s="475" t="s">
        <v>79</v>
      </c>
      <c r="D1138" s="479" t="s">
        <v>166</v>
      </c>
      <c r="E1138" s="480"/>
      <c r="F1138" s="481"/>
      <c r="G1138" s="482" t="s">
        <v>73</v>
      </c>
      <c r="H1138" s="2"/>
    </row>
    <row r="1139" spans="1:8" ht="12.75">
      <c r="A1139" s="24" t="s">
        <v>167</v>
      </c>
      <c r="B1139" s="304" t="s">
        <v>241</v>
      </c>
      <c r="C1139" s="476"/>
      <c r="D1139" s="24" t="s">
        <v>168</v>
      </c>
      <c r="E1139" s="24" t="s">
        <v>169</v>
      </c>
      <c r="F1139" s="477" t="s">
        <v>23</v>
      </c>
      <c r="G1139" s="483"/>
      <c r="H1139" s="133"/>
    </row>
    <row r="1140" spans="1:8" ht="11.25" customHeight="1">
      <c r="A1140" s="24"/>
      <c r="B1140" s="24"/>
      <c r="C1140" s="24" t="s">
        <v>53</v>
      </c>
      <c r="D1140" s="24" t="s">
        <v>53</v>
      </c>
      <c r="E1140" s="156" t="s">
        <v>86</v>
      </c>
      <c r="F1140" s="478"/>
      <c r="G1140" s="3" t="s">
        <v>54</v>
      </c>
      <c r="H1140" s="133"/>
    </row>
    <row r="1141" spans="1:13" ht="12.75">
      <c r="A1141" s="46">
        <v>1</v>
      </c>
      <c r="B1141" s="46">
        <v>2</v>
      </c>
      <c r="C1141" s="46">
        <v>3</v>
      </c>
      <c r="D1141" s="90">
        <v>4</v>
      </c>
      <c r="E1141" s="90">
        <v>5</v>
      </c>
      <c r="F1141" s="90">
        <v>6</v>
      </c>
      <c r="G1141" s="91">
        <v>7</v>
      </c>
      <c r="H1141" s="133"/>
      <c r="I1141" s="14"/>
      <c r="J1141" s="14"/>
      <c r="K1141" s="14"/>
      <c r="M1141" s="14"/>
    </row>
    <row r="1142" spans="1:8" ht="14.25">
      <c r="A1142" s="43" t="s">
        <v>178</v>
      </c>
      <c r="B1142" s="160"/>
      <c r="C1142" s="5"/>
      <c r="D1142" s="5"/>
      <c r="E1142" s="5"/>
      <c r="F1142" s="5"/>
      <c r="G1142" s="5"/>
      <c r="H1142" s="133"/>
    </row>
    <row r="1143" spans="1:9" ht="12.75">
      <c r="A1143" s="29" t="s">
        <v>191</v>
      </c>
      <c r="B1143" s="62" t="s">
        <v>126</v>
      </c>
      <c r="C1143" s="64">
        <v>76200</v>
      </c>
      <c r="D1143" s="191">
        <v>41690</v>
      </c>
      <c r="E1143" s="88">
        <f aca="true" t="shared" si="28" ref="E1143:E1158">F1143-D1143</f>
        <v>54310</v>
      </c>
      <c r="F1143" s="64">
        <v>96000</v>
      </c>
      <c r="G1143" s="77">
        <v>96000</v>
      </c>
      <c r="H1143" s="133"/>
      <c r="I1143" s="14"/>
    </row>
    <row r="1144" spans="1:9" ht="12.75">
      <c r="A1144" s="41" t="s">
        <v>19</v>
      </c>
      <c r="B1144" s="62" t="s">
        <v>127</v>
      </c>
      <c r="C1144" s="64">
        <v>0</v>
      </c>
      <c r="D1144" s="191">
        <v>6000</v>
      </c>
      <c r="E1144" s="88">
        <f t="shared" si="28"/>
        <v>44000</v>
      </c>
      <c r="F1144" s="64">
        <v>50000</v>
      </c>
      <c r="G1144" s="77">
        <v>50000</v>
      </c>
      <c r="H1144" s="133"/>
      <c r="I1144" s="14"/>
    </row>
    <row r="1145" spans="1:9" ht="12.75">
      <c r="A1145" s="41" t="s">
        <v>2</v>
      </c>
      <c r="B1145" s="62" t="s">
        <v>128</v>
      </c>
      <c r="C1145" s="64">
        <v>72064.34</v>
      </c>
      <c r="D1145" s="191">
        <v>9351.4</v>
      </c>
      <c r="E1145" s="88">
        <f t="shared" si="28"/>
        <v>80648.6</v>
      </c>
      <c r="F1145" s="64">
        <v>90000</v>
      </c>
      <c r="G1145" s="77">
        <v>90000</v>
      </c>
      <c r="H1145" s="133"/>
      <c r="I1145" s="14"/>
    </row>
    <row r="1146" spans="1:9" ht="12.75">
      <c r="A1146" s="41" t="s">
        <v>312</v>
      </c>
      <c r="B1146" s="63" t="s">
        <v>219</v>
      </c>
      <c r="C1146" s="64">
        <v>75000</v>
      </c>
      <c r="D1146" s="191">
        <v>10270</v>
      </c>
      <c r="E1146" s="88">
        <f t="shared" si="28"/>
        <v>69730</v>
      </c>
      <c r="F1146" s="64">
        <v>80000</v>
      </c>
      <c r="G1146" s="77">
        <v>80000</v>
      </c>
      <c r="H1146" s="133"/>
      <c r="I1146" s="14"/>
    </row>
    <row r="1147" spans="1:8" ht="12.75">
      <c r="A1147" s="29" t="s">
        <v>63</v>
      </c>
      <c r="B1147" s="62" t="s">
        <v>131</v>
      </c>
      <c r="C1147" s="64">
        <v>2000</v>
      </c>
      <c r="D1147" s="191">
        <v>0</v>
      </c>
      <c r="E1147" s="88">
        <f t="shared" si="28"/>
        <v>2000</v>
      </c>
      <c r="F1147" s="64">
        <v>2000</v>
      </c>
      <c r="G1147" s="77">
        <v>2000</v>
      </c>
      <c r="H1147" s="133"/>
    </row>
    <row r="1148" spans="1:8" ht="12.75">
      <c r="A1148" s="29" t="s">
        <v>227</v>
      </c>
      <c r="B1148" s="62" t="s">
        <v>135</v>
      </c>
      <c r="C1148" s="64">
        <v>84000</v>
      </c>
      <c r="D1148" s="191">
        <v>42000</v>
      </c>
      <c r="E1148" s="88">
        <f t="shared" si="28"/>
        <v>42000</v>
      </c>
      <c r="F1148" s="64">
        <v>84000</v>
      </c>
      <c r="G1148" s="77">
        <v>84000</v>
      </c>
      <c r="H1148" s="133"/>
    </row>
    <row r="1149" spans="1:8" ht="12.75">
      <c r="A1149" s="29" t="s">
        <v>45</v>
      </c>
      <c r="B1149" s="62" t="s">
        <v>136</v>
      </c>
      <c r="C1149" s="110">
        <v>24000</v>
      </c>
      <c r="D1149" s="191">
        <v>12000</v>
      </c>
      <c r="E1149" s="88">
        <f t="shared" si="28"/>
        <v>12000</v>
      </c>
      <c r="F1149" s="110">
        <v>24000</v>
      </c>
      <c r="G1149" s="146">
        <v>24000</v>
      </c>
      <c r="H1149" s="133"/>
    </row>
    <row r="1150" spans="1:8" ht="12.75">
      <c r="A1150" s="29" t="s">
        <v>81</v>
      </c>
      <c r="B1150" s="62" t="s">
        <v>137</v>
      </c>
      <c r="C1150" s="110">
        <v>0</v>
      </c>
      <c r="D1150" s="191">
        <v>0</v>
      </c>
      <c r="E1150" s="88">
        <f t="shared" si="28"/>
        <v>0</v>
      </c>
      <c r="F1150" s="110">
        <v>0</v>
      </c>
      <c r="G1150" s="146">
        <v>0</v>
      </c>
      <c r="H1150" s="16"/>
    </row>
    <row r="1151" spans="1:11" ht="12.75">
      <c r="A1151" s="29" t="s">
        <v>251</v>
      </c>
      <c r="B1151" s="62" t="s">
        <v>252</v>
      </c>
      <c r="C1151" s="363">
        <v>433515</v>
      </c>
      <c r="D1151" s="152">
        <v>97225</v>
      </c>
      <c r="E1151" s="152">
        <f t="shared" si="28"/>
        <v>549575</v>
      </c>
      <c r="F1151" s="363">
        <f>350*22*12*7</f>
        <v>646800</v>
      </c>
      <c r="G1151" s="363">
        <f>350*22*12*5</f>
        <v>462000</v>
      </c>
      <c r="H1151" s="16"/>
      <c r="J1151" s="14"/>
      <c r="K1151" s="14"/>
    </row>
    <row r="1152" spans="1:8" ht="12.75">
      <c r="A1152" s="29" t="s">
        <v>253</v>
      </c>
      <c r="B1152" s="62" t="s">
        <v>254</v>
      </c>
      <c r="C1152" s="283">
        <v>107300</v>
      </c>
      <c r="D1152" s="152">
        <v>60525</v>
      </c>
      <c r="E1152" s="152">
        <f t="shared" si="28"/>
        <v>150675</v>
      </c>
      <c r="F1152" s="283">
        <f>400*22*12*2</f>
        <v>211200</v>
      </c>
      <c r="G1152" s="363">
        <f>400*22*12*2</f>
        <v>211200</v>
      </c>
      <c r="H1152" s="59"/>
    </row>
    <row r="1153" spans="1:11" ht="12.75">
      <c r="A1153" s="41" t="s">
        <v>220</v>
      </c>
      <c r="B1153" s="63" t="s">
        <v>221</v>
      </c>
      <c r="C1153" s="110">
        <v>100000</v>
      </c>
      <c r="D1153" s="191">
        <v>29000</v>
      </c>
      <c r="E1153" s="88">
        <f t="shared" si="28"/>
        <v>71000</v>
      </c>
      <c r="F1153" s="110">
        <v>100000</v>
      </c>
      <c r="G1153" s="146">
        <v>100000</v>
      </c>
      <c r="H1153" s="2"/>
      <c r="J1153" s="14"/>
      <c r="K1153" s="14"/>
    </row>
    <row r="1154" spans="1:8" ht="12.75">
      <c r="A1154" s="29" t="s">
        <v>146</v>
      </c>
      <c r="B1154" s="62" t="s">
        <v>147</v>
      </c>
      <c r="C1154" s="110">
        <v>8300</v>
      </c>
      <c r="D1154" s="191">
        <v>0</v>
      </c>
      <c r="E1154" s="88">
        <f t="shared" si="28"/>
        <v>30000</v>
      </c>
      <c r="F1154" s="110">
        <v>30000</v>
      </c>
      <c r="G1154" s="146">
        <v>30000</v>
      </c>
      <c r="H1154" s="59"/>
    </row>
    <row r="1155" spans="1:8" ht="12.75">
      <c r="A1155" s="29" t="s">
        <v>64</v>
      </c>
      <c r="B1155" s="62" t="s">
        <v>138</v>
      </c>
      <c r="C1155" s="88">
        <v>47167</v>
      </c>
      <c r="D1155" s="191">
        <v>21030</v>
      </c>
      <c r="E1155" s="88">
        <f t="shared" si="28"/>
        <v>28970</v>
      </c>
      <c r="F1155" s="88">
        <v>50000</v>
      </c>
      <c r="G1155" s="121">
        <v>50000</v>
      </c>
      <c r="H1155" s="59"/>
    </row>
    <row r="1156" spans="1:8" ht="12.75">
      <c r="A1156" s="29" t="s">
        <v>66</v>
      </c>
      <c r="B1156" s="62" t="s">
        <v>139</v>
      </c>
      <c r="C1156" s="88">
        <v>186120.3</v>
      </c>
      <c r="D1156" s="191">
        <v>54913.98</v>
      </c>
      <c r="E1156" s="88">
        <f t="shared" si="28"/>
        <v>245086.02</v>
      </c>
      <c r="F1156" s="88">
        <v>300000</v>
      </c>
      <c r="G1156" s="121">
        <v>200000</v>
      </c>
      <c r="H1156" s="59"/>
    </row>
    <row r="1157" spans="1:8" ht="12.75">
      <c r="A1157" s="29" t="s">
        <v>270</v>
      </c>
      <c r="B1157" s="62" t="s">
        <v>271</v>
      </c>
      <c r="C1157" s="88">
        <v>40880</v>
      </c>
      <c r="D1157" s="191">
        <v>107000</v>
      </c>
      <c r="E1157" s="88">
        <f t="shared" si="28"/>
        <v>0</v>
      </c>
      <c r="F1157" s="88">
        <f>122000-15000</f>
        <v>107000</v>
      </c>
      <c r="G1157" s="121">
        <v>100000</v>
      </c>
      <c r="H1157" s="59"/>
    </row>
    <row r="1158" spans="1:12" ht="12.75">
      <c r="A1158" s="41" t="s">
        <v>58</v>
      </c>
      <c r="B1158" s="63" t="s">
        <v>153</v>
      </c>
      <c r="C1158" s="146"/>
      <c r="D1158" s="191">
        <v>0</v>
      </c>
      <c r="E1158" s="88">
        <f t="shared" si="28"/>
        <v>0</v>
      </c>
      <c r="F1158" s="146"/>
      <c r="G1158" s="146"/>
      <c r="H1158" s="16"/>
      <c r="L1158" s="14"/>
    </row>
    <row r="1159" spans="1:13" ht="6" customHeight="1">
      <c r="A1159" s="66"/>
      <c r="B1159" s="33"/>
      <c r="C1159" s="110"/>
      <c r="D1159" s="110"/>
      <c r="E1159" s="110"/>
      <c r="F1159" s="110"/>
      <c r="G1159" s="146"/>
      <c r="H1159" s="16"/>
      <c r="J1159" s="14"/>
      <c r="K1159" s="14"/>
      <c r="L1159" s="14"/>
      <c r="M1159" s="14"/>
    </row>
    <row r="1160" spans="1:11" ht="12.75">
      <c r="A1160" s="43" t="s">
        <v>192</v>
      </c>
      <c r="B1160" s="33"/>
      <c r="C1160" s="8">
        <f>SUM(C1143:C1159)</f>
        <v>1256546.64</v>
      </c>
      <c r="D1160" s="8">
        <f>SUM(D1143:D1159)</f>
        <v>491005.38</v>
      </c>
      <c r="E1160" s="8">
        <f>SUM(E1143:E1159)</f>
        <v>1379994.62</v>
      </c>
      <c r="F1160" s="8">
        <f>SUM(F1143:F1159)</f>
        <v>1871000</v>
      </c>
      <c r="G1160" s="140">
        <f>SUM(G1143:G1159)</f>
        <v>1579200</v>
      </c>
      <c r="H1160" s="2"/>
      <c r="J1160" s="14"/>
      <c r="K1160" s="14"/>
    </row>
    <row r="1161" spans="1:8" ht="12.75">
      <c r="A1161" s="37" t="s">
        <v>179</v>
      </c>
      <c r="B1161" s="38"/>
      <c r="C1161" s="109"/>
      <c r="D1161" s="109"/>
      <c r="E1161" s="109"/>
      <c r="F1161" s="109"/>
      <c r="G1161" s="374"/>
      <c r="H1161" s="2"/>
    </row>
    <row r="1162" spans="1:8" ht="12.75">
      <c r="A1162" s="29" t="s">
        <v>26</v>
      </c>
      <c r="B1162" s="39" t="s">
        <v>155</v>
      </c>
      <c r="C1162" s="128">
        <v>0</v>
      </c>
      <c r="D1162" s="49">
        <v>0</v>
      </c>
      <c r="E1162" s="88">
        <f>F1162-D1162</f>
        <v>40000</v>
      </c>
      <c r="F1162" s="128">
        <v>40000</v>
      </c>
      <c r="G1162" s="128">
        <v>0</v>
      </c>
      <c r="H1162" s="2"/>
    </row>
    <row r="1163" spans="1:8" ht="12.75">
      <c r="A1163" s="29" t="s">
        <v>211</v>
      </c>
      <c r="B1163" s="39" t="s">
        <v>156</v>
      </c>
      <c r="C1163" s="128">
        <v>0</v>
      </c>
      <c r="D1163" s="152">
        <v>0</v>
      </c>
      <c r="E1163" s="88">
        <f>F1163-D1163</f>
        <v>75000</v>
      </c>
      <c r="F1163" s="128">
        <v>75000</v>
      </c>
      <c r="G1163" s="128">
        <v>0</v>
      </c>
      <c r="H1163" s="2"/>
    </row>
    <row r="1164" spans="1:8" ht="12.75">
      <c r="A1164" s="29" t="s">
        <v>92</v>
      </c>
      <c r="B1164" s="39" t="s">
        <v>157</v>
      </c>
      <c r="C1164" s="128">
        <v>0</v>
      </c>
      <c r="D1164" s="152">
        <v>0</v>
      </c>
      <c r="E1164" s="88">
        <f>F1164-D1164</f>
        <v>30000</v>
      </c>
      <c r="F1164" s="128">
        <v>30000</v>
      </c>
      <c r="G1164" s="128">
        <v>0</v>
      </c>
      <c r="H1164" s="2"/>
    </row>
    <row r="1165" spans="1:8" ht="12.75">
      <c r="A1165" s="41" t="s">
        <v>273</v>
      </c>
      <c r="B1165" s="48"/>
      <c r="C1165" s="128">
        <v>0</v>
      </c>
      <c r="D1165" s="152">
        <v>0</v>
      </c>
      <c r="E1165" s="88">
        <f>F1165-D1165</f>
        <v>0</v>
      </c>
      <c r="F1165" s="128">
        <v>0</v>
      </c>
      <c r="G1165" s="128">
        <v>0</v>
      </c>
      <c r="H1165" s="2"/>
    </row>
    <row r="1166" spans="1:12" ht="12.75">
      <c r="A1166" s="43" t="s">
        <v>202</v>
      </c>
      <c r="B1166" s="48"/>
      <c r="C1166" s="8">
        <f>SUM(C1162:C1165)</f>
        <v>0</v>
      </c>
      <c r="D1166" s="8">
        <f>SUM(D1162:D1165)</f>
        <v>0</v>
      </c>
      <c r="E1166" s="8">
        <f>SUM(E1162:E1165)</f>
        <v>145000</v>
      </c>
      <c r="F1166" s="8">
        <f>SUM(F1162:F1165)</f>
        <v>145000</v>
      </c>
      <c r="G1166" s="8">
        <f>SUM(G1162:G1165)</f>
        <v>0</v>
      </c>
      <c r="H1166" s="2"/>
      <c r="L1166" s="14"/>
    </row>
    <row r="1167" spans="1:8" ht="6.75" customHeight="1">
      <c r="A1167" s="5"/>
      <c r="B1167" s="5"/>
      <c r="C1167" s="5"/>
      <c r="D1167" s="5"/>
      <c r="E1167" s="5"/>
      <c r="F1167" s="5"/>
      <c r="G1167" s="5"/>
      <c r="H1167" s="2"/>
    </row>
    <row r="1168" spans="1:8" ht="12.75">
      <c r="A1168" s="7" t="s">
        <v>34</v>
      </c>
      <c r="B1168" s="5"/>
      <c r="C1168" s="8">
        <f>C1132+C1160+C1166</f>
        <v>4928391.029999999</v>
      </c>
      <c r="D1168" s="8">
        <f>D1132+D1160+D1166</f>
        <v>2466575.86</v>
      </c>
      <c r="E1168" s="8">
        <f>E1132+E1160+E1166</f>
        <v>3688836.17</v>
      </c>
      <c r="F1168" s="8">
        <f>F1132+F1160+F1166</f>
        <v>6155412.029999999</v>
      </c>
      <c r="G1168" s="8">
        <f>G1132+G1160+G1166</f>
        <v>5683199.84</v>
      </c>
      <c r="H1168" s="59"/>
    </row>
    <row r="1169" spans="1:8" ht="8.25" customHeight="1">
      <c r="A1169" s="4"/>
      <c r="B1169" s="4"/>
      <c r="C1169" s="4"/>
      <c r="D1169" s="4"/>
      <c r="E1169" s="4"/>
      <c r="F1169" s="4"/>
      <c r="G1169" s="4"/>
      <c r="H1169" s="2"/>
    </row>
    <row r="1170" spans="1:8" ht="12.75">
      <c r="A1170" s="2"/>
      <c r="B1170" s="2"/>
      <c r="C1170" s="2"/>
      <c r="D1170" s="2"/>
      <c r="E1170" s="2"/>
      <c r="F1170" s="2"/>
      <c r="G1170" s="59"/>
      <c r="H1170" s="2"/>
    </row>
    <row r="1171" spans="1:8" ht="12.75">
      <c r="A1171" s="2" t="s">
        <v>185</v>
      </c>
      <c r="B1171" s="2" t="s">
        <v>186</v>
      </c>
      <c r="C1171" s="2"/>
      <c r="D1171" s="2"/>
      <c r="E1171" s="161" t="s">
        <v>170</v>
      </c>
      <c r="F1171" s="2"/>
      <c r="G1171" s="2"/>
      <c r="H1171" s="2"/>
    </row>
    <row r="1172" spans="1:8" ht="15">
      <c r="A1172" s="2"/>
      <c r="B1172" s="2"/>
      <c r="C1172" s="2"/>
      <c r="D1172" s="2"/>
      <c r="E1172" s="161"/>
      <c r="F1172" s="2"/>
      <c r="G1172" s="2"/>
      <c r="H1172" s="53"/>
    </row>
    <row r="1173" spans="1:8" ht="12.75">
      <c r="A1173" s="2"/>
      <c r="B1173" s="22"/>
      <c r="C1173" s="22"/>
      <c r="D1173" s="22"/>
      <c r="E1173" s="162"/>
      <c r="F1173" s="22"/>
      <c r="G1173" s="2"/>
      <c r="H1173" s="2"/>
    </row>
    <row r="1174" spans="1:8" ht="12.75">
      <c r="A1174" s="22" t="s">
        <v>24</v>
      </c>
      <c r="B1174" s="22" t="s">
        <v>277</v>
      </c>
      <c r="C1174" s="22"/>
      <c r="D1174" s="22"/>
      <c r="E1174" s="162" t="s">
        <v>161</v>
      </c>
      <c r="F1174" s="22"/>
      <c r="G1174" s="2"/>
      <c r="H1174" s="2"/>
    </row>
    <row r="1175" spans="1:8" ht="12.75">
      <c r="A1175" s="2" t="s">
        <v>88</v>
      </c>
      <c r="B1175" s="2" t="s">
        <v>373</v>
      </c>
      <c r="C1175" s="2"/>
      <c r="D1175" s="2"/>
      <c r="E1175" s="161" t="s">
        <v>25</v>
      </c>
      <c r="F1175" s="2"/>
      <c r="G1175" s="2"/>
      <c r="H1175" s="2"/>
    </row>
    <row r="1176" spans="1:8" ht="12.75">
      <c r="A1176" s="2"/>
      <c r="B1176" s="2"/>
      <c r="C1176" s="2"/>
      <c r="D1176" s="2"/>
      <c r="E1176" s="161"/>
      <c r="F1176" s="2"/>
      <c r="G1176" s="2"/>
      <c r="H1176" s="2"/>
    </row>
    <row r="1177" spans="1:8" ht="12.75">
      <c r="A1177" s="2"/>
      <c r="B1177" s="2"/>
      <c r="C1177" s="2"/>
      <c r="D1177" s="2"/>
      <c r="E1177" s="161"/>
      <c r="F1177" s="2"/>
      <c r="G1177" s="2"/>
      <c r="H1177" s="2"/>
    </row>
    <row r="1178" spans="1:8" ht="12.75">
      <c r="A1178" s="19" t="s">
        <v>208</v>
      </c>
      <c r="B1178" s="2"/>
      <c r="C1178" s="2"/>
      <c r="D1178" s="2"/>
      <c r="E1178" s="2"/>
      <c r="F1178" s="2"/>
      <c r="G1178" s="2"/>
      <c r="H1178" s="154"/>
    </row>
    <row r="1179" spans="1:8" ht="12.75">
      <c r="A1179" s="19"/>
      <c r="B1179" s="2"/>
      <c r="C1179" s="2"/>
      <c r="D1179" s="2"/>
      <c r="E1179" s="2"/>
      <c r="F1179" s="2"/>
      <c r="G1179" s="2"/>
      <c r="H1179" s="154"/>
    </row>
    <row r="1180" spans="1:8" ht="12.75">
      <c r="A1180" s="2"/>
      <c r="B1180" s="2"/>
      <c r="C1180" s="2"/>
      <c r="D1180" s="2"/>
      <c r="E1180" s="2"/>
      <c r="F1180" s="2"/>
      <c r="G1180" s="2"/>
      <c r="H1180" s="163"/>
    </row>
    <row r="1181" spans="1:8" ht="15">
      <c r="A1181" s="474" t="s">
        <v>165</v>
      </c>
      <c r="B1181" s="474"/>
      <c r="C1181" s="474"/>
      <c r="D1181" s="474"/>
      <c r="E1181" s="474"/>
      <c r="F1181" s="474"/>
      <c r="G1181" s="474"/>
      <c r="H1181" s="59"/>
    </row>
    <row r="1182" spans="1:8" ht="15">
      <c r="A1182" s="474" t="s">
        <v>172</v>
      </c>
      <c r="B1182" s="474"/>
      <c r="C1182" s="474"/>
      <c r="D1182" s="474"/>
      <c r="E1182" s="474"/>
      <c r="F1182" s="474"/>
      <c r="G1182" s="474"/>
      <c r="H1182" s="59"/>
    </row>
    <row r="1183" spans="1:8" ht="12.75">
      <c r="A1183" s="54"/>
      <c r="B1183" s="54"/>
      <c r="C1183" s="54"/>
      <c r="D1183" s="54"/>
      <c r="E1183" s="54"/>
      <c r="F1183" s="54"/>
      <c r="G1183" s="54"/>
      <c r="H1183" s="59"/>
    </row>
    <row r="1184" spans="1:8" ht="12.75">
      <c r="A1184" s="54"/>
      <c r="B1184" s="54"/>
      <c r="C1184" s="54"/>
      <c r="D1184" s="54"/>
      <c r="E1184" s="54"/>
      <c r="F1184" s="54"/>
      <c r="G1184" s="54"/>
      <c r="H1184" s="59"/>
    </row>
    <row r="1185" spans="1:8" ht="12.75">
      <c r="A1185" s="21" t="s">
        <v>52</v>
      </c>
      <c r="B1185" s="21" t="s">
        <v>35</v>
      </c>
      <c r="C1185" s="21"/>
      <c r="D1185" s="21"/>
      <c r="E1185" s="21"/>
      <c r="F1185" s="2"/>
      <c r="G1185" s="2"/>
      <c r="H1185" s="59"/>
    </row>
    <row r="1186" spans="1:8" ht="12.75">
      <c r="A1186" s="21"/>
      <c r="B1186" s="21"/>
      <c r="C1186" s="21"/>
      <c r="D1186" s="21"/>
      <c r="E1186" s="21"/>
      <c r="F1186" s="2"/>
      <c r="G1186" s="2"/>
      <c r="H1186" s="59"/>
    </row>
    <row r="1187" spans="1:8" ht="12.75">
      <c r="A1187" s="2"/>
      <c r="B1187" s="2"/>
      <c r="C1187" s="2"/>
      <c r="D1187" s="2"/>
      <c r="E1187" s="2"/>
      <c r="F1187" s="2"/>
      <c r="G1187" s="2"/>
      <c r="H1187" s="59"/>
    </row>
    <row r="1188" spans="1:8" ht="12.75">
      <c r="A1188" s="23"/>
      <c r="B1188" s="23"/>
      <c r="C1188" s="475" t="s">
        <v>79</v>
      </c>
      <c r="D1188" s="479" t="s">
        <v>166</v>
      </c>
      <c r="E1188" s="480"/>
      <c r="F1188" s="481"/>
      <c r="G1188" s="482" t="s">
        <v>73</v>
      </c>
      <c r="H1188" s="59"/>
    </row>
    <row r="1189" spans="1:8" ht="12.75">
      <c r="A1189" s="24" t="s">
        <v>167</v>
      </c>
      <c r="B1189" s="304" t="s">
        <v>241</v>
      </c>
      <c r="C1189" s="476"/>
      <c r="D1189" s="24" t="s">
        <v>168</v>
      </c>
      <c r="E1189" s="24" t="s">
        <v>169</v>
      </c>
      <c r="F1189" s="477" t="s">
        <v>23</v>
      </c>
      <c r="G1189" s="483"/>
      <c r="H1189" s="59"/>
    </row>
    <row r="1190" spans="1:8" ht="12.75">
      <c r="A1190" s="24"/>
      <c r="B1190" s="24"/>
      <c r="C1190" s="24" t="s">
        <v>53</v>
      </c>
      <c r="D1190" s="24" t="s">
        <v>53</v>
      </c>
      <c r="E1190" s="156" t="s">
        <v>86</v>
      </c>
      <c r="F1190" s="478"/>
      <c r="G1190" s="3" t="s">
        <v>54</v>
      </c>
      <c r="H1190" s="59"/>
    </row>
    <row r="1191" spans="1:8" ht="12.75">
      <c r="A1191" s="46">
        <v>1</v>
      </c>
      <c r="B1191" s="46">
        <v>2</v>
      </c>
      <c r="C1191" s="46">
        <v>3</v>
      </c>
      <c r="D1191" s="90">
        <v>4</v>
      </c>
      <c r="E1191" s="90">
        <v>5</v>
      </c>
      <c r="F1191" s="90">
        <v>6</v>
      </c>
      <c r="G1191" s="91">
        <v>7</v>
      </c>
      <c r="H1191" s="59"/>
    </row>
    <row r="1192" spans="1:8" ht="12.75">
      <c r="A1192" s="5"/>
      <c r="B1192" s="5"/>
      <c r="C1192" s="5"/>
      <c r="D1192" s="116"/>
      <c r="E1192" s="116"/>
      <c r="F1192" s="116"/>
      <c r="G1192" s="5"/>
      <c r="H1192" s="59"/>
    </row>
    <row r="1193" spans="1:8" ht="15">
      <c r="A1193" s="18" t="s">
        <v>43</v>
      </c>
      <c r="B1193" s="72"/>
      <c r="C1193" s="5"/>
      <c r="D1193" s="116"/>
      <c r="E1193" s="116"/>
      <c r="F1193" s="116"/>
      <c r="G1193" s="92"/>
      <c r="H1193" s="59"/>
    </row>
    <row r="1194" spans="1:8" ht="12.75">
      <c r="A1194" s="41" t="s">
        <v>7</v>
      </c>
      <c r="B1194" s="157" t="s">
        <v>113</v>
      </c>
      <c r="C1194" s="64">
        <v>1244232</v>
      </c>
      <c r="D1194" s="64">
        <v>638236</v>
      </c>
      <c r="E1194" s="64">
        <f>F1194-D1194</f>
        <v>638636</v>
      </c>
      <c r="F1194" s="64">
        <v>1276872</v>
      </c>
      <c r="G1194" s="64">
        <v>1699044</v>
      </c>
      <c r="H1194" s="59"/>
    </row>
    <row r="1195" spans="1:8" ht="12.75">
      <c r="A1195" s="29" t="s">
        <v>100</v>
      </c>
      <c r="B1195" s="157" t="s">
        <v>114</v>
      </c>
      <c r="C1195" s="64">
        <v>72000</v>
      </c>
      <c r="D1195" s="64">
        <v>36000</v>
      </c>
      <c r="E1195" s="64">
        <f aca="true" t="shared" si="29" ref="E1195:E1207">F1195-D1195</f>
        <v>36000</v>
      </c>
      <c r="F1195" s="64">
        <v>72000</v>
      </c>
      <c r="G1195" s="64">
        <v>96000</v>
      </c>
      <c r="H1195" s="59"/>
    </row>
    <row r="1196" spans="1:8" ht="12.75">
      <c r="A1196" s="41" t="s">
        <v>42</v>
      </c>
      <c r="B1196" s="157" t="s">
        <v>115</v>
      </c>
      <c r="C1196" s="64">
        <v>76500</v>
      </c>
      <c r="D1196" s="64">
        <f>F1196/2</f>
        <v>38250</v>
      </c>
      <c r="E1196" s="64">
        <f t="shared" si="29"/>
        <v>38250</v>
      </c>
      <c r="F1196" s="64">
        <v>76500</v>
      </c>
      <c r="G1196" s="64">
        <v>76500</v>
      </c>
      <c r="H1196" s="59"/>
    </row>
    <row r="1197" spans="1:8" ht="12.75">
      <c r="A1197" s="41" t="s">
        <v>3</v>
      </c>
      <c r="B1197" s="62" t="s">
        <v>159</v>
      </c>
      <c r="C1197" s="64">
        <v>76500</v>
      </c>
      <c r="D1197" s="64">
        <f>F1197/2</f>
        <v>38250</v>
      </c>
      <c r="E1197" s="64">
        <f t="shared" si="29"/>
        <v>38250</v>
      </c>
      <c r="F1197" s="64">
        <v>76500</v>
      </c>
      <c r="G1197" s="64">
        <v>76500</v>
      </c>
      <c r="H1197" s="59"/>
    </row>
    <row r="1198" spans="1:8" ht="12.75">
      <c r="A1198" s="41" t="s">
        <v>18</v>
      </c>
      <c r="B1198" s="157" t="s">
        <v>116</v>
      </c>
      <c r="C1198" s="64">
        <v>18000</v>
      </c>
      <c r="D1198" s="64">
        <v>18000</v>
      </c>
      <c r="E1198" s="83">
        <f t="shared" si="29"/>
        <v>0</v>
      </c>
      <c r="F1198" s="64">
        <v>18000</v>
      </c>
      <c r="G1198" s="64">
        <v>24000</v>
      </c>
      <c r="H1198" s="59"/>
    </row>
    <row r="1199" spans="1:9" ht="12.75">
      <c r="A1199" s="41" t="s">
        <v>175</v>
      </c>
      <c r="B1199" s="157" t="s">
        <v>176</v>
      </c>
      <c r="C1199" s="64">
        <v>15000</v>
      </c>
      <c r="D1199" s="83">
        <v>0</v>
      </c>
      <c r="E1199" s="64">
        <f t="shared" si="29"/>
        <v>15000</v>
      </c>
      <c r="F1199" s="64">
        <v>15000</v>
      </c>
      <c r="G1199" s="64">
        <v>20000</v>
      </c>
      <c r="H1199" s="16"/>
      <c r="I1199" s="14"/>
    </row>
    <row r="1200" spans="1:8" ht="12.75">
      <c r="A1200" s="41" t="s">
        <v>27</v>
      </c>
      <c r="B1200" s="157" t="s">
        <v>117</v>
      </c>
      <c r="C1200" s="64">
        <v>15000</v>
      </c>
      <c r="D1200" s="83">
        <v>0</v>
      </c>
      <c r="E1200" s="64">
        <f t="shared" si="29"/>
        <v>15000</v>
      </c>
      <c r="F1200" s="64">
        <v>15000</v>
      </c>
      <c r="G1200" s="64">
        <v>20000</v>
      </c>
      <c r="H1200" s="59"/>
    </row>
    <row r="1201" spans="1:8" ht="12.75">
      <c r="A1201" s="41" t="s">
        <v>96</v>
      </c>
      <c r="B1201" s="157" t="s">
        <v>118</v>
      </c>
      <c r="C1201" s="64">
        <f>C1194/12</f>
        <v>103686</v>
      </c>
      <c r="D1201" s="83">
        <v>0</v>
      </c>
      <c r="E1201" s="64">
        <f t="shared" si="29"/>
        <v>106406</v>
      </c>
      <c r="F1201" s="64">
        <f>F1194/12</f>
        <v>106406</v>
      </c>
      <c r="G1201" s="64">
        <f>G1194/12</f>
        <v>141587</v>
      </c>
      <c r="H1201" s="59"/>
    </row>
    <row r="1202" spans="1:8" ht="12.75">
      <c r="A1202" s="41" t="s">
        <v>173</v>
      </c>
      <c r="B1202" s="157" t="s">
        <v>174</v>
      </c>
      <c r="C1202" s="64">
        <f>C1201</f>
        <v>103686</v>
      </c>
      <c r="D1202" s="64">
        <v>106406</v>
      </c>
      <c r="E1202" s="64">
        <f t="shared" si="29"/>
        <v>0</v>
      </c>
      <c r="F1202" s="64">
        <f>F1201</f>
        <v>106406</v>
      </c>
      <c r="G1202" s="64">
        <f>G1201</f>
        <v>141587</v>
      </c>
      <c r="H1202" s="59"/>
    </row>
    <row r="1203" spans="1:8" ht="12.75">
      <c r="A1203" s="41" t="s">
        <v>235</v>
      </c>
      <c r="B1203" s="157" t="s">
        <v>119</v>
      </c>
      <c r="C1203" s="64">
        <f>C1194*12%</f>
        <v>149307.84</v>
      </c>
      <c r="D1203" s="64">
        <v>76588.32</v>
      </c>
      <c r="E1203" s="64">
        <f t="shared" si="29"/>
        <v>76636.31999999998</v>
      </c>
      <c r="F1203" s="64">
        <f>F1194*12%</f>
        <v>153224.63999999998</v>
      </c>
      <c r="G1203" s="64">
        <v>203885.28</v>
      </c>
      <c r="H1203" s="59"/>
    </row>
    <row r="1204" spans="1:8" ht="12.75">
      <c r="A1204" s="41" t="s">
        <v>28</v>
      </c>
      <c r="B1204" s="157" t="s">
        <v>120</v>
      </c>
      <c r="C1204" s="64">
        <v>3600</v>
      </c>
      <c r="D1204" s="64">
        <v>1800</v>
      </c>
      <c r="E1204" s="64">
        <f t="shared" si="29"/>
        <v>1800</v>
      </c>
      <c r="F1204" s="64">
        <v>3600</v>
      </c>
      <c r="G1204" s="64">
        <v>4800</v>
      </c>
      <c r="H1204" s="59"/>
    </row>
    <row r="1205" spans="1:8" ht="17.25" customHeight="1">
      <c r="A1205" s="41" t="s">
        <v>69</v>
      </c>
      <c r="B1205" s="157" t="s">
        <v>121</v>
      </c>
      <c r="C1205" s="64">
        <v>15975.36</v>
      </c>
      <c r="D1205" s="64">
        <v>8877.47</v>
      </c>
      <c r="E1205" s="64">
        <f t="shared" si="29"/>
        <v>16659.97</v>
      </c>
      <c r="F1205" s="64">
        <v>25537.44</v>
      </c>
      <c r="G1205" s="64">
        <v>38228.49</v>
      </c>
      <c r="H1205" s="59"/>
    </row>
    <row r="1206" spans="1:8" ht="12.75">
      <c r="A1206" s="29" t="s">
        <v>122</v>
      </c>
      <c r="B1206" s="157" t="s">
        <v>123</v>
      </c>
      <c r="C1206" s="64">
        <v>3600</v>
      </c>
      <c r="D1206" s="64">
        <v>1800</v>
      </c>
      <c r="E1206" s="64">
        <f t="shared" si="29"/>
        <v>1800</v>
      </c>
      <c r="F1206" s="64">
        <v>3600</v>
      </c>
      <c r="G1206" s="64">
        <v>4800</v>
      </c>
      <c r="H1206" s="59"/>
    </row>
    <row r="1207" spans="1:8" ht="12.75">
      <c r="A1207" s="41" t="s">
        <v>57</v>
      </c>
      <c r="B1207" s="157" t="s">
        <v>125</v>
      </c>
      <c r="C1207" s="64">
        <v>30036.14</v>
      </c>
      <c r="D1207" s="64">
        <v>43091.5</v>
      </c>
      <c r="E1207" s="83">
        <f t="shared" si="29"/>
        <v>8188.419999999998</v>
      </c>
      <c r="F1207" s="442">
        <v>51279.92</v>
      </c>
      <c r="G1207" s="60">
        <v>68234.6</v>
      </c>
      <c r="H1207" s="59"/>
    </row>
    <row r="1208" spans="1:8" ht="14.25">
      <c r="A1208" s="5"/>
      <c r="B1208" s="158"/>
      <c r="C1208" s="64"/>
      <c r="D1208" s="64"/>
      <c r="E1208" s="64"/>
      <c r="F1208" s="64"/>
      <c r="G1208" s="64"/>
      <c r="H1208" s="59"/>
    </row>
    <row r="1209" spans="1:9" ht="15">
      <c r="A1209" s="18" t="s">
        <v>193</v>
      </c>
      <c r="B1209" s="159"/>
      <c r="C1209" s="8">
        <f>SUM(C1194:C1207)</f>
        <v>1927123.34</v>
      </c>
      <c r="D1209" s="8">
        <f>SUM(D1194:D1208)</f>
        <v>1007299.29</v>
      </c>
      <c r="E1209" s="8">
        <f>SUM(E1194:E1207)</f>
        <v>992626.71</v>
      </c>
      <c r="F1209" s="8">
        <f>SUM(F1194:F1207)</f>
        <v>1999925.9999999998</v>
      </c>
      <c r="G1209" s="8">
        <f>SUM(G1194:G1207)</f>
        <v>2615166.37</v>
      </c>
      <c r="H1209" s="59"/>
      <c r="I1209" s="14"/>
    </row>
    <row r="1210" spans="1:8" ht="14.25">
      <c r="A1210" s="5"/>
      <c r="B1210" s="158"/>
      <c r="C1210" s="5"/>
      <c r="D1210" s="5"/>
      <c r="E1210" s="5"/>
      <c r="F1210" s="5"/>
      <c r="G1210" s="5"/>
      <c r="H1210" s="59"/>
    </row>
    <row r="1211" spans="1:11" ht="14.25">
      <c r="A1211" s="5"/>
      <c r="B1211" s="158"/>
      <c r="C1211" s="5"/>
      <c r="D1211" s="5"/>
      <c r="E1211" s="5"/>
      <c r="F1211" s="5"/>
      <c r="G1211" s="5"/>
      <c r="H1211" s="59"/>
      <c r="J1211" s="14"/>
      <c r="K1211" s="14"/>
    </row>
    <row r="1212" spans="1:11" ht="14.25">
      <c r="A1212" s="179"/>
      <c r="B1212" s="180"/>
      <c r="C1212" s="179"/>
      <c r="D1212" s="179"/>
      <c r="E1212" s="179"/>
      <c r="F1212" s="179"/>
      <c r="G1212" s="179"/>
      <c r="H1212" s="59"/>
      <c r="I1212" s="14"/>
      <c r="J1212" s="14"/>
      <c r="K1212" s="14"/>
    </row>
    <row r="1213" spans="1:11" ht="14.25">
      <c r="A1213" s="2"/>
      <c r="B1213" s="181"/>
      <c r="C1213" s="2"/>
      <c r="D1213" s="2"/>
      <c r="E1213" s="2"/>
      <c r="F1213" s="2"/>
      <c r="G1213" s="2"/>
      <c r="H1213" s="59"/>
      <c r="I1213" s="14"/>
      <c r="J1213" s="14"/>
      <c r="K1213" s="14"/>
    </row>
    <row r="1214" spans="1:11" ht="14.25">
      <c r="A1214" s="2"/>
      <c r="B1214" s="181"/>
      <c r="C1214" s="2"/>
      <c r="D1214" s="2"/>
      <c r="E1214" s="2"/>
      <c r="F1214" s="2"/>
      <c r="G1214" s="2"/>
      <c r="H1214" s="59"/>
      <c r="I1214" s="14"/>
      <c r="J1214" s="14"/>
      <c r="K1214" s="14"/>
    </row>
    <row r="1215" spans="1:13" ht="14.25">
      <c r="A1215" s="2"/>
      <c r="B1215" s="181"/>
      <c r="C1215" s="2"/>
      <c r="D1215" s="2"/>
      <c r="E1215" s="2"/>
      <c r="F1215" s="2"/>
      <c r="G1215" s="2"/>
      <c r="H1215" s="59"/>
      <c r="I1215" s="14"/>
      <c r="J1215" s="14"/>
      <c r="K1215" s="14"/>
      <c r="L1215" s="14"/>
      <c r="M1215" s="14"/>
    </row>
    <row r="1216" spans="1:13" ht="15">
      <c r="A1216" s="23"/>
      <c r="B1216" s="23"/>
      <c r="C1216" s="475" t="s">
        <v>79</v>
      </c>
      <c r="D1216" s="479" t="s">
        <v>166</v>
      </c>
      <c r="E1216" s="480"/>
      <c r="F1216" s="481"/>
      <c r="G1216" s="482" t="s">
        <v>73</v>
      </c>
      <c r="H1216" s="59"/>
      <c r="M1216" s="126"/>
    </row>
    <row r="1217" spans="1:8" ht="14.25" customHeight="1">
      <c r="A1217" s="24" t="s">
        <v>167</v>
      </c>
      <c r="B1217" s="304" t="s">
        <v>241</v>
      </c>
      <c r="C1217" s="476"/>
      <c r="D1217" s="24" t="s">
        <v>168</v>
      </c>
      <c r="E1217" s="24" t="s">
        <v>169</v>
      </c>
      <c r="F1217" s="477" t="s">
        <v>23</v>
      </c>
      <c r="G1217" s="483"/>
      <c r="H1217" s="59"/>
    </row>
    <row r="1218" spans="1:8" ht="12.75">
      <c r="A1218" s="24"/>
      <c r="B1218" s="24"/>
      <c r="C1218" s="24" t="s">
        <v>53</v>
      </c>
      <c r="D1218" s="24" t="s">
        <v>53</v>
      </c>
      <c r="E1218" s="156" t="s">
        <v>86</v>
      </c>
      <c r="F1218" s="478"/>
      <c r="G1218" s="3" t="s">
        <v>54</v>
      </c>
      <c r="H1218" s="164"/>
    </row>
    <row r="1219" spans="1:8" ht="12.75">
      <c r="A1219" s="46">
        <v>1</v>
      </c>
      <c r="B1219" s="46">
        <v>2</v>
      </c>
      <c r="C1219" s="46">
        <v>3</v>
      </c>
      <c r="D1219" s="90">
        <v>4</v>
      </c>
      <c r="E1219" s="90">
        <v>5</v>
      </c>
      <c r="F1219" s="90">
        <v>6</v>
      </c>
      <c r="G1219" s="91">
        <v>7</v>
      </c>
      <c r="H1219" s="164"/>
    </row>
    <row r="1220" spans="1:8" ht="14.25">
      <c r="A1220" s="5"/>
      <c r="B1220" s="158"/>
      <c r="C1220" s="5"/>
      <c r="D1220" s="5"/>
      <c r="E1220" s="5"/>
      <c r="F1220" s="5"/>
      <c r="G1220" s="5"/>
      <c r="H1220" s="59"/>
    </row>
    <row r="1221" spans="1:8" ht="14.25">
      <c r="A1221" s="43" t="s">
        <v>178</v>
      </c>
      <c r="B1221" s="160"/>
      <c r="C1221" s="5"/>
      <c r="D1221" s="5"/>
      <c r="E1221" s="5"/>
      <c r="F1221" s="5"/>
      <c r="G1221" s="5"/>
      <c r="H1221" s="59"/>
    </row>
    <row r="1222" spans="1:8" ht="12.75">
      <c r="A1222" s="29" t="s">
        <v>191</v>
      </c>
      <c r="B1222" s="62" t="s">
        <v>126</v>
      </c>
      <c r="C1222" s="64">
        <v>7389</v>
      </c>
      <c r="D1222" s="6">
        <v>4600</v>
      </c>
      <c r="E1222" s="64">
        <f aca="true" t="shared" si="30" ref="E1222:E1234">F1222-D1222</f>
        <v>90400</v>
      </c>
      <c r="F1222" s="64">
        <v>95000</v>
      </c>
      <c r="G1222" s="64">
        <v>95000</v>
      </c>
      <c r="H1222" s="59"/>
    </row>
    <row r="1223" spans="1:8" ht="12.75">
      <c r="A1223" s="41" t="s">
        <v>210</v>
      </c>
      <c r="B1223" s="62" t="s">
        <v>127</v>
      </c>
      <c r="C1223" s="64">
        <v>0</v>
      </c>
      <c r="D1223" s="6">
        <v>1800</v>
      </c>
      <c r="E1223" s="64">
        <f t="shared" si="30"/>
        <v>38200</v>
      </c>
      <c r="F1223" s="64">
        <v>40000</v>
      </c>
      <c r="G1223" s="64">
        <v>40000</v>
      </c>
      <c r="H1223" s="16"/>
    </row>
    <row r="1224" spans="1:11" ht="12.75">
      <c r="A1224" s="41" t="s">
        <v>2</v>
      </c>
      <c r="B1224" s="62" t="s">
        <v>128</v>
      </c>
      <c r="C1224" s="64">
        <v>87345.82</v>
      </c>
      <c r="D1224" s="64">
        <v>7811.04</v>
      </c>
      <c r="E1224" s="64">
        <f t="shared" si="30"/>
        <v>102188.96</v>
      </c>
      <c r="F1224" s="64">
        <v>110000</v>
      </c>
      <c r="G1224" s="64">
        <v>90000</v>
      </c>
      <c r="H1224" s="16"/>
      <c r="J1224" s="14"/>
      <c r="K1224" s="14"/>
    </row>
    <row r="1225" spans="1:8" ht="12.75">
      <c r="A1225" s="29" t="s">
        <v>63</v>
      </c>
      <c r="B1225" s="62" t="s">
        <v>131</v>
      </c>
      <c r="C1225" s="64">
        <v>1320</v>
      </c>
      <c r="D1225" s="6">
        <v>0</v>
      </c>
      <c r="E1225" s="64">
        <f t="shared" si="30"/>
        <v>2000</v>
      </c>
      <c r="F1225" s="64">
        <v>2000</v>
      </c>
      <c r="G1225" s="64">
        <v>2000</v>
      </c>
      <c r="H1225" s="16"/>
    </row>
    <row r="1226" spans="1:11" ht="12.75">
      <c r="A1226" s="29" t="s">
        <v>227</v>
      </c>
      <c r="B1226" s="62" t="s">
        <v>135</v>
      </c>
      <c r="C1226" s="64">
        <v>84000</v>
      </c>
      <c r="D1226" s="64">
        <v>42000</v>
      </c>
      <c r="E1226" s="64">
        <f t="shared" si="30"/>
        <v>42000</v>
      </c>
      <c r="F1226" s="64">
        <v>84000</v>
      </c>
      <c r="G1226" s="64">
        <v>84000</v>
      </c>
      <c r="H1226" s="59"/>
      <c r="J1226" s="14"/>
      <c r="K1226" s="14"/>
    </row>
    <row r="1227" spans="1:8" ht="11.25" customHeight="1">
      <c r="A1227" s="29" t="s">
        <v>45</v>
      </c>
      <c r="B1227" s="62" t="s">
        <v>136</v>
      </c>
      <c r="C1227" s="64">
        <v>24000</v>
      </c>
      <c r="D1227" s="6">
        <v>12000</v>
      </c>
      <c r="E1227" s="64">
        <f t="shared" si="30"/>
        <v>12000</v>
      </c>
      <c r="F1227" s="64">
        <v>24000</v>
      </c>
      <c r="G1227" s="64">
        <v>24000</v>
      </c>
      <c r="H1227" s="59"/>
    </row>
    <row r="1228" spans="1:8" ht="12.75">
      <c r="A1228" s="29" t="s">
        <v>81</v>
      </c>
      <c r="B1228" s="62" t="s">
        <v>137</v>
      </c>
      <c r="C1228" s="152">
        <v>0</v>
      </c>
      <c r="D1228" s="6">
        <v>0</v>
      </c>
      <c r="E1228" s="152">
        <f t="shared" si="30"/>
        <v>0</v>
      </c>
      <c r="F1228" s="152">
        <v>0</v>
      </c>
      <c r="G1228" s="152">
        <v>0</v>
      </c>
      <c r="H1228" s="59"/>
    </row>
    <row r="1229" spans="1:8" ht="12.75">
      <c r="A1229" s="29" t="s">
        <v>251</v>
      </c>
      <c r="B1229" s="62" t="s">
        <v>252</v>
      </c>
      <c r="C1229" s="152">
        <v>12300</v>
      </c>
      <c r="D1229" s="152">
        <v>0</v>
      </c>
      <c r="E1229" s="152">
        <f t="shared" si="30"/>
        <v>92400</v>
      </c>
      <c r="F1229" s="152">
        <v>92400</v>
      </c>
      <c r="G1229" s="152">
        <v>0</v>
      </c>
      <c r="H1229" s="59"/>
    </row>
    <row r="1230" spans="1:8" ht="12.75">
      <c r="A1230" s="29" t="s">
        <v>253</v>
      </c>
      <c r="B1230" s="62" t="s">
        <v>254</v>
      </c>
      <c r="C1230" s="152">
        <v>53500</v>
      </c>
      <c r="D1230" s="152">
        <v>30300</v>
      </c>
      <c r="E1230" s="152">
        <f t="shared" si="30"/>
        <v>88500</v>
      </c>
      <c r="F1230" s="152">
        <f>450*22*12</f>
        <v>118800</v>
      </c>
      <c r="G1230" s="152">
        <f>300*22*12</f>
        <v>79200</v>
      </c>
      <c r="H1230" s="59"/>
    </row>
    <row r="1231" spans="1:8" ht="12.75">
      <c r="A1231" s="29" t="s">
        <v>144</v>
      </c>
      <c r="B1231" s="62" t="s">
        <v>145</v>
      </c>
      <c r="C1231" s="152">
        <v>0</v>
      </c>
      <c r="D1231" s="152">
        <v>0</v>
      </c>
      <c r="E1231" s="152">
        <f t="shared" si="30"/>
        <v>0</v>
      </c>
      <c r="F1231" s="152">
        <v>0</v>
      </c>
      <c r="G1231" s="152">
        <v>0</v>
      </c>
      <c r="H1231" s="59"/>
    </row>
    <row r="1232" spans="1:12" ht="12.75">
      <c r="A1232" s="29" t="s">
        <v>146</v>
      </c>
      <c r="B1232" s="62" t="s">
        <v>147</v>
      </c>
      <c r="C1232" s="64">
        <v>8131.2</v>
      </c>
      <c r="D1232" s="6">
        <v>20000</v>
      </c>
      <c r="E1232" s="64">
        <f t="shared" si="30"/>
        <v>0</v>
      </c>
      <c r="F1232" s="64">
        <v>20000</v>
      </c>
      <c r="G1232" s="64">
        <v>20000</v>
      </c>
      <c r="H1232" s="16"/>
      <c r="L1232" s="14"/>
    </row>
    <row r="1233" spans="1:8" ht="13.5" customHeight="1">
      <c r="A1233" s="29" t="s">
        <v>270</v>
      </c>
      <c r="B1233" s="62" t="s">
        <v>271</v>
      </c>
      <c r="C1233" s="88">
        <v>0</v>
      </c>
      <c r="D1233" s="191">
        <v>5000</v>
      </c>
      <c r="E1233" s="88">
        <f t="shared" si="30"/>
        <v>2500</v>
      </c>
      <c r="F1233" s="88">
        <v>7500</v>
      </c>
      <c r="G1233" s="88">
        <v>7500</v>
      </c>
      <c r="H1233" s="59"/>
    </row>
    <row r="1234" spans="1:13" ht="13.5" customHeight="1">
      <c r="A1234" s="41" t="s">
        <v>60</v>
      </c>
      <c r="B1234" s="63" t="s">
        <v>153</v>
      </c>
      <c r="C1234" s="64">
        <v>0</v>
      </c>
      <c r="D1234" s="191">
        <v>0</v>
      </c>
      <c r="E1234" s="64">
        <f t="shared" si="30"/>
        <v>0</v>
      </c>
      <c r="F1234" s="64">
        <v>0</v>
      </c>
      <c r="G1234" s="64">
        <v>0</v>
      </c>
      <c r="H1234" s="16"/>
      <c r="L1234" s="14"/>
      <c r="M1234" s="14"/>
    </row>
    <row r="1235" spans="1:8" ht="12.75">
      <c r="A1235" s="18"/>
      <c r="B1235" s="7"/>
      <c r="C1235" s="8"/>
      <c r="D1235" s="8"/>
      <c r="E1235" s="8"/>
      <c r="F1235" s="8"/>
      <c r="G1235" s="8"/>
      <c r="H1235" s="59"/>
    </row>
    <row r="1236" spans="1:11" ht="12.75">
      <c r="A1236" s="43" t="s">
        <v>192</v>
      </c>
      <c r="B1236" s="7"/>
      <c r="C1236" s="8">
        <f>SUM(C1222:C1234)</f>
        <v>277986.02</v>
      </c>
      <c r="D1236" s="8">
        <f>SUM(D1222:D1234)</f>
        <v>123511.04000000001</v>
      </c>
      <c r="E1236" s="8">
        <f>SUM(E1222:E1234)</f>
        <v>470188.96</v>
      </c>
      <c r="F1236" s="8">
        <f>SUM(F1222:F1234)</f>
        <v>593700</v>
      </c>
      <c r="G1236" s="8">
        <f>SUM(G1222:G1234)</f>
        <v>441700</v>
      </c>
      <c r="H1236" s="59"/>
      <c r="J1236" s="14"/>
      <c r="K1236" s="14"/>
    </row>
    <row r="1237" spans="1:8" ht="3.75" customHeight="1">
      <c r="A1237" s="5"/>
      <c r="B1237" s="5"/>
      <c r="C1237" s="5"/>
      <c r="D1237" s="5"/>
      <c r="E1237" s="5"/>
      <c r="F1237" s="5"/>
      <c r="G1237" s="6"/>
      <c r="H1237" s="59"/>
    </row>
    <row r="1238" spans="1:8" ht="12.75">
      <c r="A1238" s="43" t="s">
        <v>177</v>
      </c>
      <c r="B1238" s="5"/>
      <c r="C1238" s="6"/>
      <c r="D1238" s="5"/>
      <c r="E1238" s="5"/>
      <c r="F1238" s="6"/>
      <c r="G1238" s="6"/>
      <c r="H1238" s="59"/>
    </row>
    <row r="1239" spans="1:8" ht="12.75">
      <c r="A1239" s="28" t="s">
        <v>26</v>
      </c>
      <c r="B1239" s="39" t="s">
        <v>155</v>
      </c>
      <c r="C1239" s="6">
        <v>95245</v>
      </c>
      <c r="D1239" s="6">
        <v>0</v>
      </c>
      <c r="E1239" s="152">
        <f>F1239-D1239</f>
        <v>50000</v>
      </c>
      <c r="F1239" s="6">
        <v>50000</v>
      </c>
      <c r="G1239" s="6">
        <v>0</v>
      </c>
      <c r="H1239" s="2"/>
    </row>
    <row r="1240" spans="1:8" ht="12.75">
      <c r="A1240" s="33" t="s">
        <v>31</v>
      </c>
      <c r="B1240" s="63" t="s">
        <v>156</v>
      </c>
      <c r="C1240" s="6">
        <v>0</v>
      </c>
      <c r="D1240" s="6">
        <v>0</v>
      </c>
      <c r="E1240" s="152">
        <f>F1240-D1240</f>
        <v>65000</v>
      </c>
      <c r="F1240" s="6">
        <v>65000</v>
      </c>
      <c r="G1240" s="6">
        <v>0</v>
      </c>
      <c r="H1240" s="59"/>
    </row>
    <row r="1241" spans="1:8" ht="12.75" customHeight="1">
      <c r="A1241" s="33" t="s">
        <v>102</v>
      </c>
      <c r="B1241" s="63" t="s">
        <v>157</v>
      </c>
      <c r="C1241" s="6">
        <v>0</v>
      </c>
      <c r="D1241" s="6">
        <v>69900</v>
      </c>
      <c r="E1241" s="152">
        <f>F1241-D1241</f>
        <v>100</v>
      </c>
      <c r="F1241" s="6">
        <v>70000</v>
      </c>
      <c r="G1241" s="6">
        <v>0</v>
      </c>
      <c r="H1241" s="2"/>
    </row>
    <row r="1242" spans="1:8" ht="12.75">
      <c r="A1242" s="29"/>
      <c r="B1242" s="39"/>
      <c r="C1242" s="6"/>
      <c r="D1242" s="6"/>
      <c r="E1242" s="6"/>
      <c r="F1242" s="6"/>
      <c r="G1242" s="6"/>
      <c r="H1242" s="2"/>
    </row>
    <row r="1243" spans="1:12" ht="12.75">
      <c r="A1243" s="43" t="s">
        <v>203</v>
      </c>
      <c r="B1243" s="7"/>
      <c r="C1243" s="8">
        <f>SUM(C1239:C1241)</f>
        <v>95245</v>
      </c>
      <c r="D1243" s="8">
        <f>SUM(D1239:D1241)</f>
        <v>69900</v>
      </c>
      <c r="E1243" s="8">
        <f>SUM(E1239:E1241)</f>
        <v>115100</v>
      </c>
      <c r="F1243" s="8">
        <f>SUM(F1239:F1241)</f>
        <v>185000</v>
      </c>
      <c r="G1243" s="8">
        <f>SUM(G1239:G1241)</f>
        <v>0</v>
      </c>
      <c r="H1243" s="2"/>
      <c r="L1243" s="14"/>
    </row>
    <row r="1244" spans="1:8" ht="12.75">
      <c r="A1244" s="5"/>
      <c r="B1244" s="5"/>
      <c r="C1244" s="6"/>
      <c r="D1244" s="6"/>
      <c r="E1244" s="6"/>
      <c r="F1244" s="6"/>
      <c r="G1244" s="6"/>
      <c r="H1244" s="2"/>
    </row>
    <row r="1245" spans="1:8" ht="12.75">
      <c r="A1245" s="7" t="s">
        <v>34</v>
      </c>
      <c r="B1245" s="5"/>
      <c r="C1245" s="8">
        <f>C1209+C1236+C1243</f>
        <v>2300354.3600000003</v>
      </c>
      <c r="D1245" s="8">
        <f>D1209+D1236+D1243</f>
        <v>1200710.33</v>
      </c>
      <c r="E1245" s="8">
        <f>E1209+E1236+E1243</f>
        <v>1577915.67</v>
      </c>
      <c r="F1245" s="8">
        <f>F1209+F1236+F1243</f>
        <v>2778626</v>
      </c>
      <c r="G1245" s="8">
        <f>G1209+G1236+G1243</f>
        <v>3056866.37</v>
      </c>
      <c r="H1245" s="59"/>
    </row>
    <row r="1246" spans="1:8" ht="15">
      <c r="A1246" s="4"/>
      <c r="B1246" s="4"/>
      <c r="C1246" s="4"/>
      <c r="D1246" s="117"/>
      <c r="E1246" s="117"/>
      <c r="F1246" s="117"/>
      <c r="G1246" s="10"/>
      <c r="H1246" s="53"/>
    </row>
    <row r="1247" spans="1:8" ht="12.75">
      <c r="A1247" s="2"/>
      <c r="B1247" s="2"/>
      <c r="C1247" s="2"/>
      <c r="D1247" s="2"/>
      <c r="E1247" s="2"/>
      <c r="F1247" s="59"/>
      <c r="G1247" s="59"/>
      <c r="H1247" s="59"/>
    </row>
    <row r="1248" spans="1:8" ht="12.75">
      <c r="A1248" s="2" t="s">
        <v>185</v>
      </c>
      <c r="B1248" s="2" t="s">
        <v>186</v>
      </c>
      <c r="C1248" s="2"/>
      <c r="D1248" s="2"/>
      <c r="E1248" s="161" t="s">
        <v>170</v>
      </c>
      <c r="F1248" s="2"/>
      <c r="G1248" s="59"/>
      <c r="H1248" s="2"/>
    </row>
    <row r="1249" spans="1:8" ht="12.75">
      <c r="A1249" s="2"/>
      <c r="B1249" s="2"/>
      <c r="C1249" s="2"/>
      <c r="D1249" s="2"/>
      <c r="E1249" s="161"/>
      <c r="F1249" s="2"/>
      <c r="G1249" s="2"/>
      <c r="H1249" s="2"/>
    </row>
    <row r="1250" spans="1:8" ht="12.75">
      <c r="A1250" s="2"/>
      <c r="B1250" s="2"/>
      <c r="C1250" s="2"/>
      <c r="D1250" s="2"/>
      <c r="E1250" s="161"/>
      <c r="F1250" s="2"/>
      <c r="G1250" s="2"/>
      <c r="H1250" s="2"/>
    </row>
    <row r="1251" spans="1:8" ht="12.75">
      <c r="A1251" s="2"/>
      <c r="B1251" s="22"/>
      <c r="C1251" s="22"/>
      <c r="D1251" s="22"/>
      <c r="E1251" s="162"/>
      <c r="F1251" s="22"/>
      <c r="G1251" s="2"/>
      <c r="H1251" s="2"/>
    </row>
    <row r="1252" spans="1:8" ht="12.75">
      <c r="A1252" s="22" t="s">
        <v>277</v>
      </c>
      <c r="B1252" s="22" t="s">
        <v>277</v>
      </c>
      <c r="C1252" s="22"/>
      <c r="D1252" s="22"/>
      <c r="E1252" s="162" t="s">
        <v>161</v>
      </c>
      <c r="F1252" s="22"/>
      <c r="G1252" s="2"/>
      <c r="H1252" s="2"/>
    </row>
    <row r="1253" spans="1:8" ht="12.75">
      <c r="A1253" s="2" t="s">
        <v>278</v>
      </c>
      <c r="B1253" s="2" t="s">
        <v>373</v>
      </c>
      <c r="C1253" s="2"/>
      <c r="D1253" s="2"/>
      <c r="E1253" s="161" t="s">
        <v>25</v>
      </c>
      <c r="F1253" s="2"/>
      <c r="G1253" s="2"/>
      <c r="H1253" s="154"/>
    </row>
    <row r="1254" spans="1:8" ht="12.75">
      <c r="A1254" s="2"/>
      <c r="B1254" s="2"/>
      <c r="C1254" s="2"/>
      <c r="D1254" s="2"/>
      <c r="E1254" s="2"/>
      <c r="F1254" s="2"/>
      <c r="G1254" s="2"/>
      <c r="H1254" s="154"/>
    </row>
    <row r="1255" spans="1:8" ht="12.75">
      <c r="A1255" s="2"/>
      <c r="B1255" s="2"/>
      <c r="C1255" s="2"/>
      <c r="D1255" s="2"/>
      <c r="E1255" s="2"/>
      <c r="F1255" s="2"/>
      <c r="G1255" s="2"/>
      <c r="H1255" s="154"/>
    </row>
    <row r="1256" spans="1:8" ht="12.75">
      <c r="A1256" s="19" t="s">
        <v>208</v>
      </c>
      <c r="B1256" s="2"/>
      <c r="C1256" s="2"/>
      <c r="D1256" s="2"/>
      <c r="E1256" s="2"/>
      <c r="F1256" s="2"/>
      <c r="G1256" s="2"/>
      <c r="H1256" s="163"/>
    </row>
    <row r="1257" spans="1:9" ht="12.75">
      <c r="A1257" s="19"/>
      <c r="B1257" s="2"/>
      <c r="C1257" s="2"/>
      <c r="D1257" s="2"/>
      <c r="E1257" s="2"/>
      <c r="F1257" s="2"/>
      <c r="G1257" s="2"/>
      <c r="H1257" s="2"/>
      <c r="I1257" s="73"/>
    </row>
    <row r="1258" spans="1:8" ht="12.75">
      <c r="A1258" s="2"/>
      <c r="B1258" s="2"/>
      <c r="C1258" s="2"/>
      <c r="D1258" s="2"/>
      <c r="E1258" s="2"/>
      <c r="F1258" s="2"/>
      <c r="G1258" s="2"/>
      <c r="H1258" s="2"/>
    </row>
    <row r="1259" spans="1:8" ht="15">
      <c r="A1259" s="474" t="s">
        <v>165</v>
      </c>
      <c r="B1259" s="474"/>
      <c r="C1259" s="474"/>
      <c r="D1259" s="474"/>
      <c r="E1259" s="474"/>
      <c r="F1259" s="474"/>
      <c r="G1259" s="474"/>
      <c r="H1259" s="2"/>
    </row>
    <row r="1260" spans="1:8" ht="15">
      <c r="A1260" s="474" t="s">
        <v>172</v>
      </c>
      <c r="B1260" s="474"/>
      <c r="C1260" s="474"/>
      <c r="D1260" s="474"/>
      <c r="E1260" s="474"/>
      <c r="F1260" s="474"/>
      <c r="G1260" s="474"/>
      <c r="H1260" s="59"/>
    </row>
    <row r="1261" spans="1:8" ht="12.75">
      <c r="A1261" s="54"/>
      <c r="B1261" s="54"/>
      <c r="C1261" s="54"/>
      <c r="D1261" s="54"/>
      <c r="E1261" s="54"/>
      <c r="F1261" s="54"/>
      <c r="G1261" s="54"/>
      <c r="H1261" s="59"/>
    </row>
    <row r="1262" spans="1:8" ht="12.75">
      <c r="A1262" s="54"/>
      <c r="B1262" s="54"/>
      <c r="C1262" s="54"/>
      <c r="D1262" s="54"/>
      <c r="E1262" s="54"/>
      <c r="F1262" s="54"/>
      <c r="G1262" s="54"/>
      <c r="H1262" s="59"/>
    </row>
    <row r="1263" spans="1:8" ht="12.75">
      <c r="A1263" s="21" t="s">
        <v>52</v>
      </c>
      <c r="B1263" s="21" t="s">
        <v>40</v>
      </c>
      <c r="C1263" s="21"/>
      <c r="D1263" s="21"/>
      <c r="E1263" s="21"/>
      <c r="F1263" s="2"/>
      <c r="G1263" s="2"/>
      <c r="H1263" s="59"/>
    </row>
    <row r="1264" spans="1:8" ht="12.75">
      <c r="A1264" s="21"/>
      <c r="B1264" s="21"/>
      <c r="C1264" s="21"/>
      <c r="D1264" s="21"/>
      <c r="E1264" s="21"/>
      <c r="F1264" s="2"/>
      <c r="G1264" s="2"/>
      <c r="H1264" s="59"/>
    </row>
    <row r="1265" spans="1:8" ht="12.75">
      <c r="A1265" s="2"/>
      <c r="B1265" s="2"/>
      <c r="C1265" s="2"/>
      <c r="D1265" s="2"/>
      <c r="E1265" s="2"/>
      <c r="F1265" s="2"/>
      <c r="G1265" s="2"/>
      <c r="H1265" s="59"/>
    </row>
    <row r="1266" spans="1:8" ht="12.75">
      <c r="A1266" s="23"/>
      <c r="B1266" s="23"/>
      <c r="C1266" s="475" t="s">
        <v>79</v>
      </c>
      <c r="D1266" s="479" t="s">
        <v>166</v>
      </c>
      <c r="E1266" s="480"/>
      <c r="F1266" s="481"/>
      <c r="G1266" s="482" t="s">
        <v>73</v>
      </c>
      <c r="H1266" s="59"/>
    </row>
    <row r="1267" spans="1:8" ht="12.75">
      <c r="A1267" s="24" t="s">
        <v>167</v>
      </c>
      <c r="B1267" s="304" t="s">
        <v>241</v>
      </c>
      <c r="C1267" s="476"/>
      <c r="D1267" s="24" t="s">
        <v>168</v>
      </c>
      <c r="E1267" s="24" t="s">
        <v>169</v>
      </c>
      <c r="F1267" s="477" t="s">
        <v>23</v>
      </c>
      <c r="G1267" s="483"/>
      <c r="H1267" s="59"/>
    </row>
    <row r="1268" spans="1:8" ht="12.75">
      <c r="A1268" s="24"/>
      <c r="B1268" s="24"/>
      <c r="C1268" s="24" t="s">
        <v>53</v>
      </c>
      <c r="D1268" s="24" t="s">
        <v>53</v>
      </c>
      <c r="E1268" s="156" t="s">
        <v>86</v>
      </c>
      <c r="F1268" s="478"/>
      <c r="G1268" s="3" t="s">
        <v>54</v>
      </c>
      <c r="H1268" s="59"/>
    </row>
    <row r="1269" spans="1:8" ht="12.75">
      <c r="A1269" s="46">
        <v>1</v>
      </c>
      <c r="B1269" s="46">
        <v>2</v>
      </c>
      <c r="C1269" s="46">
        <v>3</v>
      </c>
      <c r="D1269" s="90">
        <v>4</v>
      </c>
      <c r="E1269" s="90">
        <v>5</v>
      </c>
      <c r="F1269" s="90">
        <v>6</v>
      </c>
      <c r="G1269" s="91">
        <v>7</v>
      </c>
      <c r="H1269" s="59"/>
    </row>
    <row r="1270" spans="1:8" ht="12.75">
      <c r="A1270" s="5"/>
      <c r="B1270" s="5"/>
      <c r="C1270" s="5"/>
      <c r="D1270" s="116"/>
      <c r="E1270" s="116"/>
      <c r="F1270" s="116"/>
      <c r="G1270" s="5"/>
      <c r="H1270" s="59"/>
    </row>
    <row r="1271" spans="1:8" ht="15">
      <c r="A1271" s="18" t="s">
        <v>43</v>
      </c>
      <c r="B1271" s="72"/>
      <c r="C1271" s="5"/>
      <c r="D1271" s="116"/>
      <c r="E1271" s="116"/>
      <c r="F1271" s="116"/>
      <c r="G1271" s="92"/>
      <c r="H1271" s="59"/>
    </row>
    <row r="1272" spans="1:8" ht="12.75">
      <c r="A1272" s="41" t="s">
        <v>223</v>
      </c>
      <c r="B1272" s="157" t="s">
        <v>113</v>
      </c>
      <c r="C1272" s="6">
        <v>1511952</v>
      </c>
      <c r="D1272" s="206">
        <v>701942</v>
      </c>
      <c r="E1272" s="88">
        <f aca="true" t="shared" si="31" ref="E1272:E1286">F1272-D1272</f>
        <v>855910</v>
      </c>
      <c r="F1272" s="6">
        <v>1557852</v>
      </c>
      <c r="G1272" s="139">
        <v>1600728</v>
      </c>
      <c r="H1272" s="59"/>
    </row>
    <row r="1273" spans="1:8" ht="12.75">
      <c r="A1273" s="29" t="s">
        <v>100</v>
      </c>
      <c r="B1273" s="157" t="s">
        <v>114</v>
      </c>
      <c r="C1273" s="6">
        <v>120000</v>
      </c>
      <c r="D1273" s="206">
        <v>36000</v>
      </c>
      <c r="E1273" s="88">
        <f t="shared" si="31"/>
        <v>84000</v>
      </c>
      <c r="F1273" s="6">
        <v>120000</v>
      </c>
      <c r="G1273" s="139">
        <v>120000</v>
      </c>
      <c r="H1273" s="59"/>
    </row>
    <row r="1274" spans="1:8" ht="12.75">
      <c r="A1274" s="41" t="s">
        <v>42</v>
      </c>
      <c r="B1274" s="157" t="s">
        <v>115</v>
      </c>
      <c r="C1274" s="6">
        <v>76500</v>
      </c>
      <c r="D1274" s="206">
        <v>38250</v>
      </c>
      <c r="E1274" s="88">
        <f t="shared" si="31"/>
        <v>38250</v>
      </c>
      <c r="F1274" s="6">
        <v>76500</v>
      </c>
      <c r="G1274" s="139">
        <v>76500</v>
      </c>
      <c r="H1274" s="59"/>
    </row>
    <row r="1275" spans="1:8" ht="12.75">
      <c r="A1275" s="41" t="s">
        <v>3</v>
      </c>
      <c r="B1275" s="62" t="s">
        <v>159</v>
      </c>
      <c r="C1275" s="6">
        <v>76500</v>
      </c>
      <c r="D1275" s="206">
        <v>38250</v>
      </c>
      <c r="E1275" s="88">
        <f t="shared" si="31"/>
        <v>38250</v>
      </c>
      <c r="F1275" s="6">
        <v>76500</v>
      </c>
      <c r="G1275" s="139">
        <v>76500</v>
      </c>
      <c r="H1275" s="59"/>
    </row>
    <row r="1276" spans="1:9" ht="12.75">
      <c r="A1276" s="41" t="s">
        <v>18</v>
      </c>
      <c r="B1276" s="157" t="s">
        <v>116</v>
      </c>
      <c r="C1276" s="6">
        <v>23923.39</v>
      </c>
      <c r="D1276" s="206">
        <v>18000</v>
      </c>
      <c r="E1276" s="88">
        <f t="shared" si="31"/>
        <v>12000</v>
      </c>
      <c r="F1276" s="6">
        <v>30000</v>
      </c>
      <c r="G1276" s="139">
        <v>30000</v>
      </c>
      <c r="H1276" s="16"/>
      <c r="I1276" s="14"/>
    </row>
    <row r="1277" spans="1:8" ht="12.75">
      <c r="A1277" s="41" t="s">
        <v>175</v>
      </c>
      <c r="B1277" s="157" t="s">
        <v>176</v>
      </c>
      <c r="C1277" s="6">
        <v>20000</v>
      </c>
      <c r="D1277" s="123">
        <v>0</v>
      </c>
      <c r="E1277" s="88">
        <f t="shared" si="31"/>
        <v>25000</v>
      </c>
      <c r="F1277" s="6">
        <v>25000</v>
      </c>
      <c r="G1277" s="139">
        <v>25000</v>
      </c>
      <c r="H1277" s="59"/>
    </row>
    <row r="1278" spans="1:8" ht="12.75">
      <c r="A1278" s="41" t="s">
        <v>27</v>
      </c>
      <c r="B1278" s="157" t="s">
        <v>117</v>
      </c>
      <c r="C1278" s="6">
        <v>20000</v>
      </c>
      <c r="D1278" s="206">
        <v>0</v>
      </c>
      <c r="E1278" s="88">
        <f t="shared" si="31"/>
        <v>25000</v>
      </c>
      <c r="F1278" s="6">
        <v>25000</v>
      </c>
      <c r="G1278" s="139">
        <v>25000</v>
      </c>
      <c r="H1278" s="59"/>
    </row>
    <row r="1279" spans="1:8" ht="12.75">
      <c r="A1279" s="41" t="s">
        <v>96</v>
      </c>
      <c r="B1279" s="157" t="s">
        <v>118</v>
      </c>
      <c r="C1279" s="6">
        <v>52265</v>
      </c>
      <c r="D1279" s="206">
        <v>0</v>
      </c>
      <c r="E1279" s="88">
        <f t="shared" si="31"/>
        <v>129821</v>
      </c>
      <c r="F1279" s="6">
        <f>F1272/12</f>
        <v>129821</v>
      </c>
      <c r="G1279" s="139">
        <f>G1272/12</f>
        <v>133394</v>
      </c>
      <c r="H1279" s="59"/>
    </row>
    <row r="1280" spans="1:8" ht="12.75">
      <c r="A1280" s="41" t="s">
        <v>173</v>
      </c>
      <c r="B1280" s="157" t="s">
        <v>174</v>
      </c>
      <c r="C1280" s="6">
        <v>125996</v>
      </c>
      <c r="D1280" s="123">
        <v>41928</v>
      </c>
      <c r="E1280" s="88">
        <f t="shared" si="31"/>
        <v>87893</v>
      </c>
      <c r="F1280" s="6">
        <f>F1279</f>
        <v>129821</v>
      </c>
      <c r="G1280" s="6">
        <f>G1279</f>
        <v>133394</v>
      </c>
      <c r="H1280" s="59"/>
    </row>
    <row r="1281" spans="1:8" ht="12.75">
      <c r="A1281" s="41" t="s">
        <v>235</v>
      </c>
      <c r="B1281" s="157" t="s">
        <v>119</v>
      </c>
      <c r="C1281" s="6">
        <v>160092.25</v>
      </c>
      <c r="D1281" s="206">
        <v>30125.76</v>
      </c>
      <c r="E1281" s="88">
        <f t="shared" si="31"/>
        <v>156816.47999999998</v>
      </c>
      <c r="F1281" s="6">
        <f>F1272*12%</f>
        <v>186942.24</v>
      </c>
      <c r="G1281" s="6">
        <v>192087.36</v>
      </c>
      <c r="H1281" s="59"/>
    </row>
    <row r="1282" spans="1:8" ht="12.75">
      <c r="A1282" s="41" t="s">
        <v>28</v>
      </c>
      <c r="B1282" s="157" t="s">
        <v>120</v>
      </c>
      <c r="C1282" s="6">
        <v>4800</v>
      </c>
      <c r="D1282" s="191">
        <v>1800</v>
      </c>
      <c r="E1282" s="88">
        <f t="shared" si="31"/>
        <v>4200</v>
      </c>
      <c r="F1282" s="6">
        <v>6000</v>
      </c>
      <c r="G1282" s="6">
        <v>6000</v>
      </c>
      <c r="H1282" s="59"/>
    </row>
    <row r="1283" spans="1:8" ht="12.75">
      <c r="A1283" s="41" t="s">
        <v>4</v>
      </c>
      <c r="B1283" s="157" t="s">
        <v>121</v>
      </c>
      <c r="C1283" s="6">
        <v>11378.31</v>
      </c>
      <c r="D1283" s="191">
        <v>3975.36</v>
      </c>
      <c r="E1283" s="88">
        <f t="shared" si="31"/>
        <v>27181.68</v>
      </c>
      <c r="F1283" s="6">
        <v>31157.04</v>
      </c>
      <c r="G1283" s="6">
        <v>36016.38</v>
      </c>
      <c r="H1283" s="59"/>
    </row>
    <row r="1284" spans="1:8" ht="12.75">
      <c r="A1284" s="29" t="s">
        <v>122</v>
      </c>
      <c r="B1284" s="157" t="s">
        <v>123</v>
      </c>
      <c r="C1284" s="6">
        <v>4800</v>
      </c>
      <c r="D1284" s="191">
        <v>1800</v>
      </c>
      <c r="E1284" s="88">
        <f t="shared" si="31"/>
        <v>4200</v>
      </c>
      <c r="F1284" s="6">
        <v>6000</v>
      </c>
      <c r="G1284" s="6">
        <v>6000</v>
      </c>
      <c r="H1284" s="59"/>
    </row>
    <row r="1285" spans="1:8" ht="12.75">
      <c r="A1285" s="41" t="s">
        <v>90</v>
      </c>
      <c r="B1285" s="157" t="s">
        <v>124</v>
      </c>
      <c r="C1285" s="6">
        <v>0</v>
      </c>
      <c r="D1285" s="191">
        <v>0</v>
      </c>
      <c r="E1285" s="88">
        <f t="shared" si="31"/>
        <v>0</v>
      </c>
      <c r="F1285" s="6">
        <v>0</v>
      </c>
      <c r="G1285" s="6">
        <v>0</v>
      </c>
      <c r="H1285" s="59"/>
    </row>
    <row r="1286" spans="1:8" ht="12.75">
      <c r="A1286" s="41" t="s">
        <v>99</v>
      </c>
      <c r="B1286" s="157" t="s">
        <v>125</v>
      </c>
      <c r="C1286" s="6">
        <v>60720.87</v>
      </c>
      <c r="D1286" s="191">
        <v>41385.44</v>
      </c>
      <c r="E1286" s="88">
        <f t="shared" si="31"/>
        <v>21178.809999999998</v>
      </c>
      <c r="F1286" s="6">
        <v>62564.25</v>
      </c>
      <c r="G1286" s="60">
        <v>64286.17</v>
      </c>
      <c r="H1286" s="59"/>
    </row>
    <row r="1287" spans="1:8" ht="12.75">
      <c r="A1287" s="41"/>
      <c r="B1287" s="33"/>
      <c r="C1287" s="6"/>
      <c r="D1287" s="6"/>
      <c r="E1287" s="6"/>
      <c r="F1287" s="6"/>
      <c r="G1287" s="6"/>
      <c r="H1287" s="59"/>
    </row>
    <row r="1288" spans="1:9" ht="12.75">
      <c r="A1288" s="18" t="s">
        <v>193</v>
      </c>
      <c r="B1288" s="42"/>
      <c r="C1288" s="284">
        <f>SUM(C1272:C1286)</f>
        <v>2268927.82</v>
      </c>
      <c r="D1288" s="8">
        <f>SUM(D1272:D1286)</f>
        <v>953456.56</v>
      </c>
      <c r="E1288" s="8">
        <f>SUM(E1272:E1286)</f>
        <v>1509700.97</v>
      </c>
      <c r="F1288" s="284">
        <f>SUM(F1272:F1286)</f>
        <v>2463157.5300000003</v>
      </c>
      <c r="G1288" s="8">
        <f>SUM(G1272:G1286)</f>
        <v>2524905.9099999997</v>
      </c>
      <c r="H1288" s="59"/>
      <c r="I1288" s="14">
        <f>G1288</f>
        <v>2524905.9099999997</v>
      </c>
    </row>
    <row r="1289" spans="1:9" ht="12.75">
      <c r="A1289" s="5"/>
      <c r="B1289" s="33"/>
      <c r="C1289" s="6"/>
      <c r="D1289" s="6"/>
      <c r="E1289" s="6"/>
      <c r="F1289" s="6"/>
      <c r="G1289" s="6"/>
      <c r="H1289" s="59"/>
      <c r="I1289" s="14"/>
    </row>
    <row r="1290" spans="1:13" ht="12.75">
      <c r="A1290" s="5"/>
      <c r="B1290" s="33"/>
      <c r="C1290" s="6"/>
      <c r="D1290" s="6"/>
      <c r="E1290" s="6"/>
      <c r="F1290" s="6"/>
      <c r="G1290" s="6"/>
      <c r="H1290" s="59"/>
      <c r="J1290" s="14"/>
      <c r="K1290" s="14"/>
      <c r="M1290" s="14"/>
    </row>
    <row r="1291" spans="1:13" ht="12.75">
      <c r="A1291" s="179"/>
      <c r="B1291" s="182"/>
      <c r="C1291" s="183"/>
      <c r="D1291" s="183"/>
      <c r="E1291" s="183"/>
      <c r="F1291" s="183"/>
      <c r="G1291" s="183"/>
      <c r="H1291" s="59"/>
      <c r="J1291" s="14"/>
      <c r="K1291" s="14"/>
      <c r="M1291" s="14"/>
    </row>
    <row r="1292" spans="1:13" ht="12.75">
      <c r="A1292" s="2"/>
      <c r="B1292" s="36"/>
      <c r="C1292" s="59"/>
      <c r="D1292" s="59"/>
      <c r="E1292" s="59"/>
      <c r="F1292" s="59"/>
      <c r="G1292" s="59"/>
      <c r="H1292" s="59"/>
      <c r="J1292" s="14"/>
      <c r="K1292" s="14"/>
      <c r="M1292" s="14"/>
    </row>
    <row r="1293" spans="1:13" ht="8.25" customHeight="1">
      <c r="A1293" s="68"/>
      <c r="B1293" s="184"/>
      <c r="C1293" s="185"/>
      <c r="D1293" s="185"/>
      <c r="E1293" s="185"/>
      <c r="F1293" s="185"/>
      <c r="G1293" s="185"/>
      <c r="H1293" s="59"/>
      <c r="J1293" s="14"/>
      <c r="K1293" s="14"/>
      <c r="M1293" s="14"/>
    </row>
    <row r="1294" spans="1:13" ht="12.75">
      <c r="A1294" s="24"/>
      <c r="B1294" s="24"/>
      <c r="C1294" s="475" t="s">
        <v>79</v>
      </c>
      <c r="D1294" s="479" t="s">
        <v>166</v>
      </c>
      <c r="E1294" s="480"/>
      <c r="F1294" s="481"/>
      <c r="G1294" s="482" t="s">
        <v>73</v>
      </c>
      <c r="H1294" s="59"/>
      <c r="J1294" s="14"/>
      <c r="K1294" s="14"/>
      <c r="M1294" s="14"/>
    </row>
    <row r="1295" spans="1:9" ht="12.75">
      <c r="A1295" s="24" t="s">
        <v>167</v>
      </c>
      <c r="B1295" s="304" t="s">
        <v>241</v>
      </c>
      <c r="C1295" s="476"/>
      <c r="D1295" s="24" t="s">
        <v>168</v>
      </c>
      <c r="E1295" s="24" t="s">
        <v>169</v>
      </c>
      <c r="F1295" s="477" t="s">
        <v>23</v>
      </c>
      <c r="G1295" s="483"/>
      <c r="H1295" s="59"/>
      <c r="I1295" s="14"/>
    </row>
    <row r="1296" spans="1:9" ht="12.75">
      <c r="A1296" s="24"/>
      <c r="B1296" s="24"/>
      <c r="C1296" s="24" t="s">
        <v>53</v>
      </c>
      <c r="D1296" s="24" t="s">
        <v>53</v>
      </c>
      <c r="E1296" s="156" t="s">
        <v>86</v>
      </c>
      <c r="F1296" s="478"/>
      <c r="G1296" s="3" t="s">
        <v>54</v>
      </c>
      <c r="H1296" s="59"/>
      <c r="I1296" s="14"/>
    </row>
    <row r="1297" spans="1:9" ht="12.75">
      <c r="A1297" s="46">
        <v>1</v>
      </c>
      <c r="B1297" s="46">
        <v>2</v>
      </c>
      <c r="C1297" s="46">
        <v>3</v>
      </c>
      <c r="D1297" s="90">
        <v>4</v>
      </c>
      <c r="E1297" s="90">
        <v>5</v>
      </c>
      <c r="F1297" s="90">
        <v>6</v>
      </c>
      <c r="G1297" s="91">
        <v>7</v>
      </c>
      <c r="H1297" s="59"/>
      <c r="I1297" s="14"/>
    </row>
    <row r="1298" spans="1:9" ht="8.25" customHeight="1">
      <c r="A1298" s="5"/>
      <c r="B1298" s="158"/>
      <c r="C1298" s="5"/>
      <c r="D1298" s="5"/>
      <c r="E1298" s="5"/>
      <c r="F1298" s="5"/>
      <c r="G1298" s="5"/>
      <c r="H1298" s="164"/>
      <c r="I1298" s="14"/>
    </row>
    <row r="1299" spans="1:9" ht="14.25">
      <c r="A1299" s="43" t="s">
        <v>178</v>
      </c>
      <c r="B1299" s="160"/>
      <c r="C1299" s="5"/>
      <c r="D1299" s="5"/>
      <c r="E1299" s="5"/>
      <c r="F1299" s="5"/>
      <c r="G1299" s="5"/>
      <c r="H1299" s="164"/>
      <c r="I1299" s="14"/>
    </row>
    <row r="1300" spans="1:8" ht="12.75">
      <c r="A1300" s="29" t="s">
        <v>191</v>
      </c>
      <c r="B1300" s="62" t="s">
        <v>126</v>
      </c>
      <c r="C1300" s="123">
        <f>40000+10000+10000+40000</f>
        <v>100000</v>
      </c>
      <c r="D1300" s="191">
        <v>26160</v>
      </c>
      <c r="E1300" s="88">
        <f aca="true" t="shared" si="32" ref="E1300:E1314">F1300-D1300</f>
        <v>113840</v>
      </c>
      <c r="F1300" s="123">
        <f>40000+50000+10000+40000</f>
        <v>140000</v>
      </c>
      <c r="G1300" s="123">
        <v>100000</v>
      </c>
      <c r="H1300" s="59"/>
    </row>
    <row r="1301" spans="1:8" ht="12.75">
      <c r="A1301" s="41" t="s">
        <v>210</v>
      </c>
      <c r="B1301" s="62" t="s">
        <v>127</v>
      </c>
      <c r="C1301" s="123">
        <v>32000</v>
      </c>
      <c r="D1301" s="191">
        <v>0</v>
      </c>
      <c r="E1301" s="88">
        <f t="shared" si="32"/>
        <v>32000</v>
      </c>
      <c r="F1301" s="123">
        <v>32000</v>
      </c>
      <c r="G1301" s="123">
        <v>32000</v>
      </c>
      <c r="H1301" s="59"/>
    </row>
    <row r="1302" spans="1:8" ht="12.75">
      <c r="A1302" s="41" t="s">
        <v>2</v>
      </c>
      <c r="B1302" s="62" t="s">
        <v>128</v>
      </c>
      <c r="C1302" s="123">
        <v>73084.42</v>
      </c>
      <c r="D1302" s="191">
        <v>6031.05</v>
      </c>
      <c r="E1302" s="88">
        <f t="shared" si="32"/>
        <v>113968.95</v>
      </c>
      <c r="F1302" s="123">
        <v>120000</v>
      </c>
      <c r="G1302" s="123">
        <v>120000</v>
      </c>
      <c r="H1302" s="59"/>
    </row>
    <row r="1303" spans="1:8" ht="12.75">
      <c r="A1303" s="29" t="s">
        <v>63</v>
      </c>
      <c r="B1303" s="62" t="s">
        <v>131</v>
      </c>
      <c r="C1303" s="123">
        <v>2000</v>
      </c>
      <c r="D1303" s="191">
        <v>0</v>
      </c>
      <c r="E1303" s="88">
        <f t="shared" si="32"/>
        <v>7200</v>
      </c>
      <c r="F1303" s="123">
        <v>7200</v>
      </c>
      <c r="G1303" s="123">
        <v>7200</v>
      </c>
      <c r="H1303" s="59"/>
    </row>
    <row r="1304" spans="1:8" ht="12.75">
      <c r="A1304" s="29" t="s">
        <v>133</v>
      </c>
      <c r="B1304" s="62" t="s">
        <v>134</v>
      </c>
      <c r="C1304" s="123">
        <v>0</v>
      </c>
      <c r="D1304" s="191">
        <v>0</v>
      </c>
      <c r="E1304" s="88">
        <f t="shared" si="32"/>
        <v>0</v>
      </c>
      <c r="F1304" s="123">
        <v>0</v>
      </c>
      <c r="G1304" s="123">
        <v>0</v>
      </c>
      <c r="H1304" s="59"/>
    </row>
    <row r="1305" spans="1:11" ht="12.75">
      <c r="A1305" s="29" t="s">
        <v>47</v>
      </c>
      <c r="B1305" s="62" t="s">
        <v>135</v>
      </c>
      <c r="C1305" s="123">
        <v>0</v>
      </c>
      <c r="D1305" s="191">
        <v>0</v>
      </c>
      <c r="E1305" s="88">
        <f t="shared" si="32"/>
        <v>0</v>
      </c>
      <c r="F1305" s="123">
        <v>0</v>
      </c>
      <c r="G1305" s="123">
        <v>0</v>
      </c>
      <c r="H1305" s="16"/>
      <c r="J1305" s="14"/>
      <c r="K1305" s="14"/>
    </row>
    <row r="1306" spans="1:8" ht="15.75" customHeight="1">
      <c r="A1306" s="29" t="s">
        <v>227</v>
      </c>
      <c r="B1306" s="62" t="s">
        <v>135</v>
      </c>
      <c r="C1306" s="123">
        <v>84000</v>
      </c>
      <c r="D1306" s="191">
        <v>42000</v>
      </c>
      <c r="E1306" s="88">
        <f t="shared" si="32"/>
        <v>42000</v>
      </c>
      <c r="F1306" s="123">
        <v>84000</v>
      </c>
      <c r="G1306" s="123">
        <v>84000</v>
      </c>
      <c r="H1306" s="59"/>
    </row>
    <row r="1307" spans="1:11" ht="12.75" customHeight="1">
      <c r="A1307" s="41" t="s">
        <v>45</v>
      </c>
      <c r="B1307" s="62" t="s">
        <v>136</v>
      </c>
      <c r="C1307" s="123">
        <v>24000</v>
      </c>
      <c r="D1307" s="6">
        <v>12000</v>
      </c>
      <c r="E1307" s="88">
        <f t="shared" si="32"/>
        <v>12000</v>
      </c>
      <c r="F1307" s="123">
        <v>24000</v>
      </c>
      <c r="G1307" s="123">
        <v>24000</v>
      </c>
      <c r="H1307" s="59"/>
      <c r="J1307" s="14"/>
      <c r="K1307" s="14"/>
    </row>
    <row r="1308" spans="1:8" ht="12.75">
      <c r="A1308" s="29" t="s">
        <v>81</v>
      </c>
      <c r="B1308" s="62" t="s">
        <v>137</v>
      </c>
      <c r="C1308" s="285">
        <v>0</v>
      </c>
      <c r="D1308" s="191">
        <v>0</v>
      </c>
      <c r="E1308" s="88">
        <f t="shared" si="32"/>
        <v>0</v>
      </c>
      <c r="F1308" s="285">
        <v>0</v>
      </c>
      <c r="G1308" s="285">
        <v>0</v>
      </c>
      <c r="H1308" s="59"/>
    </row>
    <row r="1309" spans="1:8" ht="12.75">
      <c r="A1309" s="29" t="s">
        <v>255</v>
      </c>
      <c r="B1309" s="62" t="s">
        <v>254</v>
      </c>
      <c r="C1309" s="285">
        <v>228920</v>
      </c>
      <c r="D1309" s="191">
        <v>86925</v>
      </c>
      <c r="E1309" s="88">
        <f t="shared" si="32"/>
        <v>229075</v>
      </c>
      <c r="F1309" s="285">
        <v>316000</v>
      </c>
      <c r="G1309" s="425">
        <f>(400*22*12)</f>
        <v>105600</v>
      </c>
      <c r="H1309" s="59"/>
    </row>
    <row r="1310" spans="1:8" ht="12.75">
      <c r="A1310" s="29" t="s">
        <v>144</v>
      </c>
      <c r="B1310" s="62" t="s">
        <v>145</v>
      </c>
      <c r="C1310" s="123">
        <v>0</v>
      </c>
      <c r="D1310" s="191">
        <v>0</v>
      </c>
      <c r="E1310" s="88">
        <f t="shared" si="32"/>
        <v>0</v>
      </c>
      <c r="F1310" s="123">
        <v>0</v>
      </c>
      <c r="G1310" s="123">
        <v>0</v>
      </c>
      <c r="H1310" s="59"/>
    </row>
    <row r="1311" spans="1:8" ht="12.75">
      <c r="A1311" s="29" t="s">
        <v>146</v>
      </c>
      <c r="B1311" s="62" t="s">
        <v>147</v>
      </c>
      <c r="C1311" s="123">
        <v>1100</v>
      </c>
      <c r="D1311" s="191">
        <v>0</v>
      </c>
      <c r="E1311" s="88">
        <f t="shared" si="32"/>
        <v>40000</v>
      </c>
      <c r="F1311" s="123">
        <v>40000</v>
      </c>
      <c r="G1311" s="123">
        <v>40000</v>
      </c>
      <c r="H1311" s="59"/>
    </row>
    <row r="1312" spans="1:8" ht="12.75">
      <c r="A1312" s="29" t="s">
        <v>379</v>
      </c>
      <c r="B1312" s="62" t="s">
        <v>260</v>
      </c>
      <c r="C1312" s="138">
        <v>0</v>
      </c>
      <c r="D1312" s="191">
        <v>0</v>
      </c>
      <c r="E1312" s="88">
        <f>F1312-D1312</f>
        <v>0</v>
      </c>
      <c r="F1312" s="123">
        <v>0</v>
      </c>
      <c r="G1312" s="123">
        <v>60000</v>
      </c>
      <c r="H1312" s="59"/>
    </row>
    <row r="1313" spans="1:8" ht="12.75">
      <c r="A1313" s="29" t="s">
        <v>270</v>
      </c>
      <c r="B1313" s="62" t="s">
        <v>271</v>
      </c>
      <c r="C1313" s="88">
        <v>11000</v>
      </c>
      <c r="D1313" s="191">
        <v>12500</v>
      </c>
      <c r="E1313" s="88">
        <f t="shared" si="32"/>
        <v>7500</v>
      </c>
      <c r="F1313" s="88">
        <v>20000</v>
      </c>
      <c r="G1313" s="88">
        <v>20000</v>
      </c>
      <c r="H1313" s="59"/>
    </row>
    <row r="1314" spans="1:8" ht="12.75">
      <c r="A1314" s="41" t="s">
        <v>58</v>
      </c>
      <c r="B1314" s="63" t="s">
        <v>153</v>
      </c>
      <c r="C1314" s="123"/>
      <c r="D1314" s="191">
        <v>0</v>
      </c>
      <c r="E1314" s="88">
        <f t="shared" si="32"/>
        <v>0</v>
      </c>
      <c r="F1314" s="123"/>
      <c r="G1314" s="123"/>
      <c r="H1314" s="59"/>
    </row>
    <row r="1315" spans="1:12" ht="12.75">
      <c r="A1315" s="42"/>
      <c r="B1315" s="42"/>
      <c r="C1315" s="284"/>
      <c r="D1315" s="8"/>
      <c r="E1315" s="8"/>
      <c r="F1315" s="284"/>
      <c r="G1315" s="284"/>
      <c r="H1315" s="16"/>
      <c r="L1315" s="14"/>
    </row>
    <row r="1316" spans="1:11" ht="12.75">
      <c r="A1316" s="43" t="s">
        <v>192</v>
      </c>
      <c r="B1316" s="7"/>
      <c r="C1316" s="8">
        <f>SUM(C1300:C1314)</f>
        <v>556104.4199999999</v>
      </c>
      <c r="D1316" s="8">
        <f>SUM(D1300:D1314)</f>
        <v>185616.05</v>
      </c>
      <c r="E1316" s="8">
        <f>SUM(E1300:E1314)</f>
        <v>597583.95</v>
      </c>
      <c r="F1316" s="8">
        <f>SUM(F1300:F1314)</f>
        <v>783200</v>
      </c>
      <c r="G1316" s="8">
        <f>SUM(G1300:G1314)</f>
        <v>592800</v>
      </c>
      <c r="H1316" s="59"/>
      <c r="J1316" s="14"/>
      <c r="K1316" s="14"/>
    </row>
    <row r="1317" spans="1:13" ht="9.75" customHeight="1">
      <c r="A1317" s="18"/>
      <c r="B1317" s="7"/>
      <c r="C1317" s="8"/>
      <c r="D1317" s="8"/>
      <c r="E1317" s="8"/>
      <c r="F1317" s="8"/>
      <c r="G1317" s="8"/>
      <c r="H1317" s="16"/>
      <c r="L1317" s="14"/>
      <c r="M1317" s="14"/>
    </row>
    <row r="1318" spans="1:8" ht="18.75" customHeight="1">
      <c r="A1318" s="43" t="s">
        <v>44</v>
      </c>
      <c r="B1318" s="5"/>
      <c r="C1318" s="6"/>
      <c r="D1318" s="6"/>
      <c r="E1318" s="6"/>
      <c r="F1318" s="6"/>
      <c r="G1318" s="6"/>
      <c r="H1318" s="59"/>
    </row>
    <row r="1319" spans="1:8" ht="6" customHeight="1">
      <c r="A1319" s="5"/>
      <c r="B1319" s="5"/>
      <c r="C1319" s="6"/>
      <c r="D1319" s="6"/>
      <c r="E1319" s="6"/>
      <c r="F1319" s="6"/>
      <c r="G1319" s="6"/>
      <c r="H1319" s="59"/>
    </row>
    <row r="1320" spans="1:8" ht="12.75">
      <c r="A1320" s="28" t="s">
        <v>26</v>
      </c>
      <c r="B1320" s="39" t="s">
        <v>155</v>
      </c>
      <c r="C1320" s="6">
        <v>168145</v>
      </c>
      <c r="D1320" s="6">
        <v>0</v>
      </c>
      <c r="E1320" s="88">
        <f>F1320-D1320</f>
        <v>0</v>
      </c>
      <c r="F1320" s="6">
        <v>0</v>
      </c>
      <c r="G1320" s="6">
        <v>0</v>
      </c>
      <c r="H1320" s="2"/>
    </row>
    <row r="1321" spans="1:8" ht="12.75">
      <c r="A1321" s="33" t="s">
        <v>31</v>
      </c>
      <c r="B1321" s="63" t="s">
        <v>156</v>
      </c>
      <c r="C1321" s="6">
        <v>0</v>
      </c>
      <c r="D1321" s="6">
        <v>19900</v>
      </c>
      <c r="E1321" s="88">
        <f>F1321-D1321</f>
        <v>55100</v>
      </c>
      <c r="F1321" s="6">
        <v>75000</v>
      </c>
      <c r="G1321" s="6">
        <v>0</v>
      </c>
      <c r="H1321" s="2"/>
    </row>
    <row r="1322" spans="1:8" ht="12.75">
      <c r="A1322" s="28" t="s">
        <v>92</v>
      </c>
      <c r="B1322" s="39" t="s">
        <v>157</v>
      </c>
      <c r="C1322" s="6">
        <v>0</v>
      </c>
      <c r="D1322" s="6">
        <v>50000</v>
      </c>
      <c r="E1322" s="88">
        <f>F1322-D1322</f>
        <v>0</v>
      </c>
      <c r="F1322" s="6">
        <f>40000+10000</f>
        <v>50000</v>
      </c>
      <c r="G1322" s="6">
        <v>0</v>
      </c>
      <c r="H1322" s="2"/>
    </row>
    <row r="1323" spans="1:8" ht="12.75">
      <c r="A1323" s="33"/>
      <c r="B1323" s="63"/>
      <c r="C1323" s="6"/>
      <c r="D1323" s="6"/>
      <c r="E1323" s="6"/>
      <c r="F1323" s="6"/>
      <c r="G1323" s="6"/>
      <c r="H1323" s="2"/>
    </row>
    <row r="1324" spans="1:12" ht="12.75">
      <c r="A1324" s="43" t="s">
        <v>77</v>
      </c>
      <c r="B1324" s="7"/>
      <c r="C1324" s="8">
        <f>SUM(C1320:C1322)</f>
        <v>168145</v>
      </c>
      <c r="D1324" s="8">
        <f>SUM(D1320:D1322)</f>
        <v>69900</v>
      </c>
      <c r="E1324" s="8">
        <f>SUM(E1320:E1322)</f>
        <v>55100</v>
      </c>
      <c r="F1324" s="8">
        <f>SUM(F1320:F1322)</f>
        <v>125000</v>
      </c>
      <c r="G1324" s="8">
        <f>SUM(G1320:G1322)</f>
        <v>0</v>
      </c>
      <c r="H1324" s="2"/>
      <c r="L1324" s="14"/>
    </row>
    <row r="1325" spans="1:8" ht="12.75">
      <c r="A1325" s="5"/>
      <c r="B1325" s="5"/>
      <c r="C1325" s="6"/>
      <c r="D1325" s="6"/>
      <c r="E1325" s="6"/>
      <c r="F1325" s="6"/>
      <c r="G1325" s="139"/>
      <c r="H1325" s="2"/>
    </row>
    <row r="1326" spans="1:8" ht="12.75">
      <c r="A1326" s="7" t="s">
        <v>34</v>
      </c>
      <c r="B1326" s="7"/>
      <c r="C1326" s="140">
        <f>C1288+C1316+C1324</f>
        <v>2993177.2399999998</v>
      </c>
      <c r="D1326" s="8">
        <f>D1288+D1316+D1324</f>
        <v>1208972.61</v>
      </c>
      <c r="E1326" s="8">
        <f>E1288+E1316+E1324</f>
        <v>2162384.92</v>
      </c>
      <c r="F1326" s="140">
        <f>F1288+F1316+F1324</f>
        <v>3371357.5300000003</v>
      </c>
      <c r="G1326" s="8">
        <f>G1288+G1316+G1324</f>
        <v>3117705.9099999997</v>
      </c>
      <c r="H1326" s="59"/>
    </row>
    <row r="1327" spans="1:8" ht="3.75" customHeight="1">
      <c r="A1327" s="4"/>
      <c r="B1327" s="4"/>
      <c r="C1327" s="10"/>
      <c r="D1327" s="10"/>
      <c r="E1327" s="10"/>
      <c r="F1327" s="10"/>
      <c r="G1327" s="10"/>
      <c r="H1327" s="2"/>
    </row>
    <row r="1328" spans="1:8" ht="12.75">
      <c r="A1328" s="2"/>
      <c r="B1328" s="2"/>
      <c r="C1328" s="2"/>
      <c r="D1328" s="2"/>
      <c r="E1328" s="2"/>
      <c r="F1328" s="2"/>
      <c r="G1328" s="2"/>
      <c r="H1328" s="2"/>
    </row>
    <row r="1329" spans="1:8" ht="15">
      <c r="A1329" s="2" t="s">
        <v>185</v>
      </c>
      <c r="B1329" s="2" t="s">
        <v>186</v>
      </c>
      <c r="C1329" s="2"/>
      <c r="D1329" s="2"/>
      <c r="E1329" s="161" t="s">
        <v>170</v>
      </c>
      <c r="F1329" s="59"/>
      <c r="G1329" s="59"/>
      <c r="H1329" s="403"/>
    </row>
    <row r="1330" spans="1:8" ht="12.75">
      <c r="A1330" s="2"/>
      <c r="B1330" s="2"/>
      <c r="C1330" s="2"/>
      <c r="D1330" s="2"/>
      <c r="E1330" s="161"/>
      <c r="F1330" s="2"/>
      <c r="G1330" s="2"/>
      <c r="H1330" s="2"/>
    </row>
    <row r="1331" spans="1:8" ht="12.75">
      <c r="A1331" s="2"/>
      <c r="B1331" s="22"/>
      <c r="C1331" s="22"/>
      <c r="D1331" s="22"/>
      <c r="E1331" s="162"/>
      <c r="F1331" s="22"/>
      <c r="G1331" s="2"/>
      <c r="H1331" s="2"/>
    </row>
    <row r="1332" spans="1:8" ht="12.75">
      <c r="A1332" s="22" t="s">
        <v>171</v>
      </c>
      <c r="B1332" s="22" t="s">
        <v>277</v>
      </c>
      <c r="C1332" s="22"/>
      <c r="D1332" s="22"/>
      <c r="E1332" s="162" t="s">
        <v>161</v>
      </c>
      <c r="F1332" s="22"/>
      <c r="G1332" s="2"/>
      <c r="H1332" s="2"/>
    </row>
    <row r="1333" spans="1:8" ht="12.75">
      <c r="A1333" s="2" t="s">
        <v>279</v>
      </c>
      <c r="B1333" s="2" t="s">
        <v>373</v>
      </c>
      <c r="C1333" s="2"/>
      <c r="D1333" s="2"/>
      <c r="E1333" s="161" t="s">
        <v>25</v>
      </c>
      <c r="F1333" s="2"/>
      <c r="G1333" s="2"/>
      <c r="H1333" s="2"/>
    </row>
    <row r="1334" spans="1:8" ht="12.75">
      <c r="A1334" s="2"/>
      <c r="B1334" s="2"/>
      <c r="C1334" s="2"/>
      <c r="D1334" s="2"/>
      <c r="E1334" s="161"/>
      <c r="F1334" s="2"/>
      <c r="G1334" s="2"/>
      <c r="H1334" s="2"/>
    </row>
    <row r="1335" spans="1:8" ht="12.75">
      <c r="A1335" s="19" t="s">
        <v>208</v>
      </c>
      <c r="B1335" s="2"/>
      <c r="C1335" s="2"/>
      <c r="D1335" s="2"/>
      <c r="E1335" s="2"/>
      <c r="F1335" s="2"/>
      <c r="G1335" s="2"/>
      <c r="H1335" s="2"/>
    </row>
    <row r="1336" spans="1:8" ht="12.75">
      <c r="A1336" s="19"/>
      <c r="B1336" s="2"/>
      <c r="C1336" s="2"/>
      <c r="D1336" s="2"/>
      <c r="E1336" s="2"/>
      <c r="F1336" s="2"/>
      <c r="G1336" s="2"/>
      <c r="H1336" s="2"/>
    </row>
    <row r="1337" spans="1:8" ht="12.75">
      <c r="A1337" s="2"/>
      <c r="B1337" s="2"/>
      <c r="C1337" s="2"/>
      <c r="D1337" s="2"/>
      <c r="E1337" s="2"/>
      <c r="F1337" s="2"/>
      <c r="G1337" s="2"/>
      <c r="H1337" s="154"/>
    </row>
    <row r="1338" spans="1:8" ht="15">
      <c r="A1338" s="474" t="s">
        <v>165</v>
      </c>
      <c r="B1338" s="474"/>
      <c r="C1338" s="474"/>
      <c r="D1338" s="474"/>
      <c r="E1338" s="474"/>
      <c r="F1338" s="474"/>
      <c r="G1338" s="474"/>
      <c r="H1338" s="154"/>
    </row>
    <row r="1339" spans="1:8" ht="15">
      <c r="A1339" s="474" t="s">
        <v>172</v>
      </c>
      <c r="B1339" s="474"/>
      <c r="C1339" s="474"/>
      <c r="D1339" s="474"/>
      <c r="E1339" s="474"/>
      <c r="F1339" s="474"/>
      <c r="G1339" s="474"/>
      <c r="H1339" s="163"/>
    </row>
    <row r="1340" spans="1:8" ht="12.75">
      <c r="A1340" s="54"/>
      <c r="B1340" s="54"/>
      <c r="C1340" s="54"/>
      <c r="D1340" s="54"/>
      <c r="E1340" s="54"/>
      <c r="F1340" s="54"/>
      <c r="G1340" s="54"/>
      <c r="H1340" s="2"/>
    </row>
    <row r="1341" spans="1:8" ht="12.75">
      <c r="A1341" s="54"/>
      <c r="B1341" s="54"/>
      <c r="C1341" s="54"/>
      <c r="D1341" s="54"/>
      <c r="E1341" s="54"/>
      <c r="F1341" s="54"/>
      <c r="G1341" s="54"/>
      <c r="H1341" s="59"/>
    </row>
    <row r="1342" spans="1:8" ht="12.75">
      <c r="A1342" s="21" t="s">
        <v>52</v>
      </c>
      <c r="B1342" s="21" t="s">
        <v>39</v>
      </c>
      <c r="C1342" s="21"/>
      <c r="D1342" s="21"/>
      <c r="E1342" s="21"/>
      <c r="F1342" s="2"/>
      <c r="G1342" s="2"/>
      <c r="H1342" s="85"/>
    </row>
    <row r="1343" spans="1:8" ht="12.75">
      <c r="A1343" s="21"/>
      <c r="B1343" s="21"/>
      <c r="C1343" s="21"/>
      <c r="D1343" s="21"/>
      <c r="E1343" s="21"/>
      <c r="F1343" s="2"/>
      <c r="G1343" s="2"/>
      <c r="H1343" s="85"/>
    </row>
    <row r="1344" spans="1:8" ht="12.75">
      <c r="A1344" s="2"/>
      <c r="B1344" s="2"/>
      <c r="C1344" s="2"/>
      <c r="D1344" s="2"/>
      <c r="E1344" s="2"/>
      <c r="F1344" s="2"/>
      <c r="G1344" s="2"/>
      <c r="H1344" s="85"/>
    </row>
    <row r="1345" spans="1:8" ht="12.75">
      <c r="A1345" s="23"/>
      <c r="B1345" s="23"/>
      <c r="C1345" s="475" t="s">
        <v>79</v>
      </c>
      <c r="D1345" s="479" t="s">
        <v>166</v>
      </c>
      <c r="E1345" s="480"/>
      <c r="F1345" s="481"/>
      <c r="G1345" s="482" t="s">
        <v>73</v>
      </c>
      <c r="H1345" s="85"/>
    </row>
    <row r="1346" spans="1:8" ht="12.75">
      <c r="A1346" s="24" t="s">
        <v>167</v>
      </c>
      <c r="B1346" s="304" t="s">
        <v>241</v>
      </c>
      <c r="C1346" s="476"/>
      <c r="D1346" s="24" t="s">
        <v>168</v>
      </c>
      <c r="E1346" s="24" t="s">
        <v>169</v>
      </c>
      <c r="F1346" s="477" t="s">
        <v>23</v>
      </c>
      <c r="G1346" s="483"/>
      <c r="H1346" s="85"/>
    </row>
    <row r="1347" spans="1:8" ht="12.75">
      <c r="A1347" s="24"/>
      <c r="B1347" s="24"/>
      <c r="C1347" s="24" t="s">
        <v>53</v>
      </c>
      <c r="D1347" s="24" t="s">
        <v>53</v>
      </c>
      <c r="E1347" s="156" t="s">
        <v>86</v>
      </c>
      <c r="F1347" s="478"/>
      <c r="G1347" s="3" t="s">
        <v>54</v>
      </c>
      <c r="H1347" s="85"/>
    </row>
    <row r="1348" spans="1:8" ht="12.75">
      <c r="A1348" s="46">
        <v>1</v>
      </c>
      <c r="B1348" s="46">
        <v>2</v>
      </c>
      <c r="C1348" s="46">
        <v>3</v>
      </c>
      <c r="D1348" s="90">
        <v>4</v>
      </c>
      <c r="E1348" s="90">
        <v>5</v>
      </c>
      <c r="F1348" s="90">
        <v>6</v>
      </c>
      <c r="G1348" s="91">
        <v>7</v>
      </c>
      <c r="H1348" s="85"/>
    </row>
    <row r="1349" spans="1:8" ht="12.75">
      <c r="A1349" s="5"/>
      <c r="B1349" s="5"/>
      <c r="C1349" s="5"/>
      <c r="D1349" s="116"/>
      <c r="E1349" s="116"/>
      <c r="F1349" s="116"/>
      <c r="G1349" s="5"/>
      <c r="H1349" s="85"/>
    </row>
    <row r="1350" spans="1:8" ht="15">
      <c r="A1350" s="18" t="s">
        <v>43</v>
      </c>
      <c r="B1350" s="72"/>
      <c r="C1350" s="5"/>
      <c r="D1350" s="116"/>
      <c r="E1350" s="116"/>
      <c r="F1350" s="116"/>
      <c r="G1350" s="92"/>
      <c r="H1350" s="85"/>
    </row>
    <row r="1351" spans="1:8" ht="12.75">
      <c r="A1351" s="41" t="s">
        <v>223</v>
      </c>
      <c r="B1351" s="157" t="s">
        <v>113</v>
      </c>
      <c r="C1351" s="6">
        <v>2508228</v>
      </c>
      <c r="D1351" s="191">
        <v>1298232</v>
      </c>
      <c r="E1351" s="122">
        <f aca="true" t="shared" si="33" ref="E1351:E1365">F1351-D1351</f>
        <v>1299300</v>
      </c>
      <c r="F1351" s="6">
        <v>2597532</v>
      </c>
      <c r="G1351" s="6">
        <v>2698884</v>
      </c>
      <c r="H1351" s="85"/>
    </row>
    <row r="1352" spans="1:8" ht="12.75">
      <c r="A1352" s="29" t="s">
        <v>224</v>
      </c>
      <c r="B1352" s="157" t="s">
        <v>114</v>
      </c>
      <c r="C1352" s="6">
        <v>264000</v>
      </c>
      <c r="D1352" s="191">
        <v>132000</v>
      </c>
      <c r="E1352" s="122">
        <f t="shared" si="33"/>
        <v>132000</v>
      </c>
      <c r="F1352" s="6">
        <v>264000</v>
      </c>
      <c r="G1352" s="6">
        <v>264000</v>
      </c>
      <c r="H1352" s="85"/>
    </row>
    <row r="1353" spans="1:8" ht="12.75">
      <c r="A1353" s="41" t="s">
        <v>42</v>
      </c>
      <c r="B1353" s="157" t="s">
        <v>115</v>
      </c>
      <c r="C1353" s="6">
        <v>76500</v>
      </c>
      <c r="D1353" s="191">
        <v>38250</v>
      </c>
      <c r="E1353" s="122">
        <f t="shared" si="33"/>
        <v>38250</v>
      </c>
      <c r="F1353" s="6">
        <v>76500</v>
      </c>
      <c r="G1353" s="6">
        <v>76500</v>
      </c>
      <c r="H1353" s="85"/>
    </row>
    <row r="1354" spans="1:8" ht="12.75">
      <c r="A1354" s="41" t="s">
        <v>3</v>
      </c>
      <c r="B1354" s="62" t="s">
        <v>159</v>
      </c>
      <c r="C1354" s="6">
        <v>76500</v>
      </c>
      <c r="D1354" s="191">
        <v>38250</v>
      </c>
      <c r="E1354" s="122">
        <f t="shared" si="33"/>
        <v>38250</v>
      </c>
      <c r="F1354" s="6">
        <v>76500</v>
      </c>
      <c r="G1354" s="6">
        <v>76500</v>
      </c>
      <c r="H1354" s="85"/>
    </row>
    <row r="1355" spans="1:8" ht="12.75">
      <c r="A1355" s="41" t="s">
        <v>18</v>
      </c>
      <c r="B1355" s="157" t="s">
        <v>116</v>
      </c>
      <c r="C1355" s="6">
        <v>66000</v>
      </c>
      <c r="D1355" s="191">
        <v>66000</v>
      </c>
      <c r="E1355" s="122">
        <f t="shared" si="33"/>
        <v>0</v>
      </c>
      <c r="F1355" s="6">
        <v>66000</v>
      </c>
      <c r="G1355" s="6">
        <v>66000</v>
      </c>
      <c r="H1355" s="85"/>
    </row>
    <row r="1356" spans="1:8" ht="12.75">
      <c r="A1356" s="41" t="s">
        <v>175</v>
      </c>
      <c r="B1356" s="157" t="s">
        <v>176</v>
      </c>
      <c r="C1356" s="64">
        <v>55000</v>
      </c>
      <c r="D1356" s="191">
        <v>0</v>
      </c>
      <c r="E1356" s="122">
        <f t="shared" si="33"/>
        <v>55000</v>
      </c>
      <c r="F1356" s="64">
        <v>55000</v>
      </c>
      <c r="G1356" s="64">
        <v>55000</v>
      </c>
      <c r="H1356" s="85"/>
    </row>
    <row r="1357" spans="1:11" ht="12.75">
      <c r="A1357" s="41" t="s">
        <v>27</v>
      </c>
      <c r="B1357" s="157" t="s">
        <v>117</v>
      </c>
      <c r="C1357" s="6">
        <v>55000</v>
      </c>
      <c r="D1357" s="191">
        <v>0</v>
      </c>
      <c r="E1357" s="122">
        <f t="shared" si="33"/>
        <v>55000</v>
      </c>
      <c r="F1357" s="6">
        <v>55000</v>
      </c>
      <c r="G1357" s="6">
        <v>55000</v>
      </c>
      <c r="H1357" s="85"/>
      <c r="J1357" s="14"/>
      <c r="K1357" s="14"/>
    </row>
    <row r="1358" spans="1:11" ht="12.75">
      <c r="A1358" s="41" t="s">
        <v>96</v>
      </c>
      <c r="B1358" s="157" t="s">
        <v>118</v>
      </c>
      <c r="C1358" s="6">
        <f>C1351/12</f>
        <v>209019</v>
      </c>
      <c r="D1358" s="191">
        <v>0</v>
      </c>
      <c r="E1358" s="122">
        <f t="shared" si="33"/>
        <v>216461</v>
      </c>
      <c r="F1358" s="6">
        <f>F1351/12</f>
        <v>216461</v>
      </c>
      <c r="G1358" s="6">
        <f>G1351/12</f>
        <v>224907</v>
      </c>
      <c r="H1358" s="173"/>
      <c r="I1358" s="13"/>
      <c r="J1358" s="13"/>
      <c r="K1358" s="13"/>
    </row>
    <row r="1359" spans="1:8" ht="12.75">
      <c r="A1359" s="41" t="s">
        <v>173</v>
      </c>
      <c r="B1359" s="157" t="s">
        <v>174</v>
      </c>
      <c r="C1359" s="6">
        <f>C1358</f>
        <v>209019</v>
      </c>
      <c r="D1359" s="64">
        <v>216372</v>
      </c>
      <c r="E1359" s="88">
        <f t="shared" si="33"/>
        <v>89</v>
      </c>
      <c r="F1359" s="6">
        <f>F1358</f>
        <v>216461</v>
      </c>
      <c r="G1359" s="6">
        <f>G1358</f>
        <v>224907</v>
      </c>
      <c r="H1359" s="173"/>
    </row>
    <row r="1360" spans="1:8" ht="12.75">
      <c r="A1360" s="41" t="s">
        <v>235</v>
      </c>
      <c r="B1360" s="157" t="s">
        <v>119</v>
      </c>
      <c r="C1360" s="6">
        <f>C1351*12%</f>
        <v>300987.36</v>
      </c>
      <c r="D1360" s="191">
        <v>155787.84</v>
      </c>
      <c r="E1360" s="88">
        <f t="shared" si="33"/>
        <v>155915.99999999997</v>
      </c>
      <c r="F1360" s="6">
        <f>F1351*12%</f>
        <v>311703.83999999997</v>
      </c>
      <c r="G1360" s="6">
        <v>323866.08</v>
      </c>
      <c r="H1360" s="173"/>
    </row>
    <row r="1361" spans="1:8" ht="12.75">
      <c r="A1361" s="41" t="s">
        <v>28</v>
      </c>
      <c r="B1361" s="157" t="s">
        <v>120</v>
      </c>
      <c r="C1361" s="6">
        <v>13200</v>
      </c>
      <c r="D1361" s="191">
        <v>6600</v>
      </c>
      <c r="E1361" s="88">
        <f t="shared" si="33"/>
        <v>6600</v>
      </c>
      <c r="F1361" s="6">
        <v>13200</v>
      </c>
      <c r="G1361" s="6">
        <v>13200</v>
      </c>
      <c r="H1361" s="173"/>
    </row>
    <row r="1362" spans="1:8" ht="12.75">
      <c r="A1362" s="41" t="s">
        <v>69</v>
      </c>
      <c r="B1362" s="157" t="s">
        <v>121</v>
      </c>
      <c r="C1362" s="6">
        <v>34032.84</v>
      </c>
      <c r="D1362" s="191">
        <v>18914.38</v>
      </c>
      <c r="E1362" s="88">
        <f t="shared" si="33"/>
        <v>32679.859999999997</v>
      </c>
      <c r="F1362" s="6">
        <v>51594.24</v>
      </c>
      <c r="G1362" s="6">
        <v>60724.89</v>
      </c>
      <c r="H1362" s="173"/>
    </row>
    <row r="1363" spans="1:8" ht="12.75">
      <c r="A1363" s="29" t="s">
        <v>122</v>
      </c>
      <c r="B1363" s="157" t="s">
        <v>123</v>
      </c>
      <c r="C1363" s="6">
        <v>13200</v>
      </c>
      <c r="D1363" s="191">
        <v>6600</v>
      </c>
      <c r="E1363" s="88">
        <f t="shared" si="33"/>
        <v>6600</v>
      </c>
      <c r="F1363" s="6">
        <v>13200</v>
      </c>
      <c r="G1363" s="6">
        <v>13200</v>
      </c>
      <c r="H1363" s="173"/>
    </row>
    <row r="1364" spans="1:8" ht="12.75">
      <c r="A1364" s="41" t="s">
        <v>90</v>
      </c>
      <c r="B1364" s="157" t="s">
        <v>124</v>
      </c>
      <c r="C1364" s="6">
        <v>0</v>
      </c>
      <c r="D1364" s="191">
        <v>0</v>
      </c>
      <c r="E1364" s="88">
        <f t="shared" si="33"/>
        <v>0</v>
      </c>
      <c r="F1364" s="6">
        <v>0</v>
      </c>
      <c r="G1364" s="6">
        <v>0</v>
      </c>
      <c r="H1364" s="173"/>
    </row>
    <row r="1365" spans="1:8" ht="12.75">
      <c r="A1365" s="41" t="s">
        <v>99</v>
      </c>
      <c r="B1365" s="157" t="s">
        <v>125</v>
      </c>
      <c r="C1365" s="318">
        <v>19410.1</v>
      </c>
      <c r="D1365" s="191">
        <v>57839.43</v>
      </c>
      <c r="E1365" s="88">
        <f t="shared" si="33"/>
        <v>46478.969999999994</v>
      </c>
      <c r="F1365" s="318">
        <v>104318.4</v>
      </c>
      <c r="G1365" s="60">
        <v>108388.76</v>
      </c>
      <c r="H1365" s="173"/>
    </row>
    <row r="1366" spans="1:8" ht="12.75">
      <c r="A1366" s="5"/>
      <c r="B1366" s="33"/>
      <c r="C1366" s="6"/>
      <c r="D1366" s="6"/>
      <c r="E1366" s="6"/>
      <c r="F1366" s="6"/>
      <c r="G1366" s="6"/>
      <c r="H1366" s="173"/>
    </row>
    <row r="1367" spans="1:9" ht="12.75">
      <c r="A1367" s="18" t="s">
        <v>193</v>
      </c>
      <c r="B1367" s="42"/>
      <c r="C1367" s="8">
        <f>SUM(C1351:C1365)</f>
        <v>3900096.3</v>
      </c>
      <c r="D1367" s="8">
        <f>SUM(D1351:D1365)</f>
        <v>2034845.65</v>
      </c>
      <c r="E1367" s="8">
        <f>SUM(E1351:E1365)</f>
        <v>2082624.83</v>
      </c>
      <c r="F1367" s="8">
        <f>SUM(F1351:F1365)</f>
        <v>4117470.48</v>
      </c>
      <c r="G1367" s="284">
        <f>SUM(G1351:G1365)</f>
        <v>4261077.73</v>
      </c>
      <c r="H1367" s="173"/>
      <c r="I1367" s="14"/>
    </row>
    <row r="1368" spans="1:8" ht="12.75">
      <c r="A1368" s="5"/>
      <c r="B1368" s="33"/>
      <c r="C1368" s="6"/>
      <c r="D1368" s="6"/>
      <c r="E1368" s="6"/>
      <c r="F1368" s="6"/>
      <c r="G1368" s="6"/>
      <c r="H1368" s="173"/>
    </row>
    <row r="1369" spans="1:8" ht="12.75">
      <c r="A1369" s="179"/>
      <c r="B1369" s="182"/>
      <c r="C1369" s="183"/>
      <c r="D1369" s="183"/>
      <c r="E1369" s="183"/>
      <c r="F1369" s="183"/>
      <c r="G1369" s="183"/>
      <c r="H1369" s="85"/>
    </row>
    <row r="1370" spans="1:8" ht="12.75">
      <c r="A1370" s="2"/>
      <c r="B1370" s="36"/>
      <c r="C1370" s="59"/>
      <c r="D1370" s="59"/>
      <c r="E1370" s="59"/>
      <c r="F1370" s="59"/>
      <c r="G1370" s="59"/>
      <c r="H1370" s="85"/>
    </row>
    <row r="1371" spans="1:9" ht="31.5" customHeight="1">
      <c r="A1371" s="68"/>
      <c r="B1371" s="184"/>
      <c r="C1371" s="185"/>
      <c r="D1371" s="185"/>
      <c r="E1371" s="185"/>
      <c r="F1371" s="185"/>
      <c r="G1371" s="185"/>
      <c r="H1371" s="85"/>
      <c r="I1371" s="13"/>
    </row>
    <row r="1372" spans="1:9" ht="12.75">
      <c r="A1372" s="24"/>
      <c r="B1372" s="24"/>
      <c r="C1372" s="475" t="s">
        <v>79</v>
      </c>
      <c r="D1372" s="479" t="s">
        <v>166</v>
      </c>
      <c r="E1372" s="480"/>
      <c r="F1372" s="481"/>
      <c r="G1372" s="482" t="s">
        <v>73</v>
      </c>
      <c r="H1372" s="59"/>
      <c r="I1372" s="13"/>
    </row>
    <row r="1373" spans="1:9" ht="12.75">
      <c r="A1373" s="24" t="s">
        <v>167</v>
      </c>
      <c r="B1373" s="304" t="s">
        <v>241</v>
      </c>
      <c r="C1373" s="476"/>
      <c r="D1373" s="24" t="s">
        <v>168</v>
      </c>
      <c r="E1373" s="24" t="s">
        <v>169</v>
      </c>
      <c r="F1373" s="477" t="s">
        <v>23</v>
      </c>
      <c r="G1373" s="483"/>
      <c r="H1373" s="174"/>
      <c r="I1373" s="13"/>
    </row>
    <row r="1374" spans="1:9" ht="12.75">
      <c r="A1374" s="24"/>
      <c r="B1374" s="24"/>
      <c r="C1374" s="24" t="s">
        <v>53</v>
      </c>
      <c r="D1374" s="24" t="s">
        <v>53</v>
      </c>
      <c r="E1374" s="156" t="s">
        <v>86</v>
      </c>
      <c r="F1374" s="478"/>
      <c r="G1374" s="3" t="s">
        <v>54</v>
      </c>
      <c r="H1374" s="174"/>
      <c r="I1374" s="13"/>
    </row>
    <row r="1375" spans="1:9" ht="11.25" customHeight="1">
      <c r="A1375" s="46">
        <v>1</v>
      </c>
      <c r="B1375" s="46">
        <v>2</v>
      </c>
      <c r="C1375" s="46">
        <v>3</v>
      </c>
      <c r="D1375" s="90">
        <v>4</v>
      </c>
      <c r="E1375" s="90">
        <v>5</v>
      </c>
      <c r="F1375" s="90">
        <v>6</v>
      </c>
      <c r="G1375" s="91">
        <v>7</v>
      </c>
      <c r="H1375" s="164"/>
      <c r="I1375" s="13"/>
    </row>
    <row r="1376" spans="1:9" ht="14.25">
      <c r="A1376" s="267" t="s">
        <v>178</v>
      </c>
      <c r="B1376" s="160"/>
      <c r="C1376" s="5"/>
      <c r="D1376" s="5"/>
      <c r="E1376" s="5"/>
      <c r="F1376" s="5"/>
      <c r="G1376" s="5"/>
      <c r="H1376" s="164"/>
      <c r="I1376" s="13"/>
    </row>
    <row r="1377" spans="1:8" ht="12.75">
      <c r="A1377" s="29" t="s">
        <v>191</v>
      </c>
      <c r="B1377" s="62" t="s">
        <v>126</v>
      </c>
      <c r="C1377" s="6">
        <v>249040</v>
      </c>
      <c r="D1377" s="49">
        <v>192554.79</v>
      </c>
      <c r="E1377" s="88">
        <f aca="true" t="shared" si="34" ref="E1377:E1393">F1377-D1377</f>
        <v>57445.20999999999</v>
      </c>
      <c r="F1377" s="6">
        <v>250000</v>
      </c>
      <c r="G1377" s="6">
        <v>250000</v>
      </c>
      <c r="H1377" s="59"/>
    </row>
    <row r="1378" spans="1:8" ht="12.75">
      <c r="A1378" s="268" t="s">
        <v>19</v>
      </c>
      <c r="B1378" s="62" t="s">
        <v>127</v>
      </c>
      <c r="C1378" s="6">
        <v>14850</v>
      </c>
      <c r="D1378" s="49">
        <v>6000</v>
      </c>
      <c r="E1378" s="88">
        <f t="shared" si="34"/>
        <v>54000</v>
      </c>
      <c r="F1378" s="6">
        <v>60000</v>
      </c>
      <c r="G1378" s="6">
        <v>60000</v>
      </c>
      <c r="H1378" s="85"/>
    </row>
    <row r="1379" spans="1:9" ht="12.75">
      <c r="A1379" s="268" t="s">
        <v>2</v>
      </c>
      <c r="B1379" s="62" t="s">
        <v>128</v>
      </c>
      <c r="C1379" s="6">
        <v>149797.8</v>
      </c>
      <c r="D1379" s="49">
        <v>22687.5</v>
      </c>
      <c r="E1379" s="88">
        <f t="shared" si="34"/>
        <v>140996.77</v>
      </c>
      <c r="F1379" s="6">
        <f>150000+25000-11315.73</f>
        <v>163684.27</v>
      </c>
      <c r="G1379" s="6">
        <v>165000</v>
      </c>
      <c r="H1379" s="85"/>
      <c r="I1379" s="13"/>
    </row>
    <row r="1380" spans="1:8" ht="12.75">
      <c r="A1380" s="143" t="s">
        <v>257</v>
      </c>
      <c r="B1380" s="62" t="s">
        <v>258</v>
      </c>
      <c r="C1380" s="6">
        <v>95650</v>
      </c>
      <c r="D1380" s="49">
        <v>45978</v>
      </c>
      <c r="E1380" s="88">
        <f>F1380-D1380</f>
        <v>54022</v>
      </c>
      <c r="F1380" s="6">
        <v>100000</v>
      </c>
      <c r="G1380" s="6">
        <v>120000</v>
      </c>
      <c r="H1380" s="85"/>
    </row>
    <row r="1381" spans="1:11" ht="12.75">
      <c r="A1381" s="29" t="s">
        <v>201</v>
      </c>
      <c r="B1381" s="62" t="s">
        <v>130</v>
      </c>
      <c r="C1381" s="6">
        <v>0</v>
      </c>
      <c r="D1381" s="49">
        <v>8999.5</v>
      </c>
      <c r="E1381" s="88">
        <f t="shared" si="34"/>
        <v>1000.5</v>
      </c>
      <c r="F1381" s="6">
        <v>10000</v>
      </c>
      <c r="G1381" s="6">
        <v>10000</v>
      </c>
      <c r="H1381" s="173"/>
      <c r="J1381" s="13"/>
      <c r="K1381" s="13"/>
    </row>
    <row r="1382" spans="1:8" ht="12.75">
      <c r="A1382" s="29" t="s">
        <v>63</v>
      </c>
      <c r="B1382" s="62" t="s">
        <v>131</v>
      </c>
      <c r="C1382" s="6">
        <v>2000</v>
      </c>
      <c r="D1382" s="49">
        <v>0</v>
      </c>
      <c r="E1382" s="88">
        <f t="shared" si="34"/>
        <v>2000</v>
      </c>
      <c r="F1382" s="6">
        <v>2000</v>
      </c>
      <c r="G1382" s="6">
        <v>2000</v>
      </c>
      <c r="H1382" s="173"/>
    </row>
    <row r="1383" spans="1:11" ht="12.75">
      <c r="A1383" s="29" t="s">
        <v>133</v>
      </c>
      <c r="B1383" s="62" t="s">
        <v>134</v>
      </c>
      <c r="C1383" s="6">
        <v>0</v>
      </c>
      <c r="D1383" s="49">
        <v>0</v>
      </c>
      <c r="E1383" s="88">
        <f t="shared" si="34"/>
        <v>0</v>
      </c>
      <c r="F1383" s="6">
        <v>0</v>
      </c>
      <c r="G1383" s="6">
        <v>0</v>
      </c>
      <c r="H1383" s="85"/>
      <c r="J1383" s="13"/>
      <c r="K1383" s="13"/>
    </row>
    <row r="1384" spans="1:8" ht="12.75">
      <c r="A1384" s="29" t="s">
        <v>227</v>
      </c>
      <c r="B1384" s="62" t="s">
        <v>135</v>
      </c>
      <c r="C1384" s="6">
        <f>(5000*12)+(7000*12)</f>
        <v>144000</v>
      </c>
      <c r="D1384" s="49">
        <v>72000</v>
      </c>
      <c r="E1384" s="88">
        <f t="shared" si="34"/>
        <v>72000</v>
      </c>
      <c r="F1384" s="6">
        <f>(5000*12)+(7000*12)</f>
        <v>144000</v>
      </c>
      <c r="G1384" s="6">
        <f>(5000*12)+(7000*12)</f>
        <v>144000</v>
      </c>
      <c r="H1384" s="175"/>
    </row>
    <row r="1385" spans="1:8" ht="12.75">
      <c r="A1385" s="41" t="s">
        <v>45</v>
      </c>
      <c r="B1385" s="62" t="s">
        <v>136</v>
      </c>
      <c r="C1385" s="59">
        <v>24000</v>
      </c>
      <c r="D1385" s="49">
        <v>12000</v>
      </c>
      <c r="E1385" s="88">
        <f t="shared" si="34"/>
        <v>12000</v>
      </c>
      <c r="F1385" s="59">
        <v>24000</v>
      </c>
      <c r="G1385" s="59">
        <v>24000</v>
      </c>
      <c r="H1385" s="175"/>
    </row>
    <row r="1386" spans="1:8" ht="12.75">
      <c r="A1386" s="29" t="s">
        <v>81</v>
      </c>
      <c r="B1386" s="62" t="s">
        <v>137</v>
      </c>
      <c r="C1386" s="60">
        <v>0</v>
      </c>
      <c r="D1386" s="49">
        <v>0</v>
      </c>
      <c r="E1386" s="88">
        <f t="shared" si="34"/>
        <v>0</v>
      </c>
      <c r="F1386" s="60">
        <v>0</v>
      </c>
      <c r="G1386" s="60">
        <v>0</v>
      </c>
      <c r="H1386" s="175"/>
    </row>
    <row r="1387" spans="1:12" ht="12.75">
      <c r="A1387" s="29" t="s">
        <v>253</v>
      </c>
      <c r="B1387" s="62" t="s">
        <v>254</v>
      </c>
      <c r="C1387" s="283">
        <v>332410</v>
      </c>
      <c r="D1387" s="152">
        <v>119770.77</v>
      </c>
      <c r="E1387" s="152">
        <f t="shared" si="34"/>
        <v>275229.23</v>
      </c>
      <c r="F1387" s="283">
        <v>395000</v>
      </c>
      <c r="G1387" s="283">
        <v>316800</v>
      </c>
      <c r="H1387" s="176"/>
      <c r="L1387" s="14"/>
    </row>
    <row r="1388" spans="1:8" ht="12.75">
      <c r="A1388" s="29" t="s">
        <v>146</v>
      </c>
      <c r="B1388" s="62" t="s">
        <v>147</v>
      </c>
      <c r="C1388" s="6">
        <v>4630</v>
      </c>
      <c r="D1388" s="49">
        <v>9675</v>
      </c>
      <c r="E1388" s="88">
        <f t="shared" si="34"/>
        <v>5325</v>
      </c>
      <c r="F1388" s="6">
        <v>15000</v>
      </c>
      <c r="G1388" s="6">
        <v>25000</v>
      </c>
      <c r="H1388" s="16"/>
    </row>
    <row r="1389" spans="1:13" ht="12.75">
      <c r="A1389" s="131" t="s">
        <v>148</v>
      </c>
      <c r="B1389" s="190" t="s">
        <v>149</v>
      </c>
      <c r="C1389" s="6">
        <v>0</v>
      </c>
      <c r="D1389" s="49">
        <v>0</v>
      </c>
      <c r="E1389" s="88">
        <f t="shared" si="34"/>
        <v>10000</v>
      </c>
      <c r="F1389" s="6">
        <v>10000</v>
      </c>
      <c r="G1389" s="6">
        <v>10000</v>
      </c>
      <c r="H1389" s="16"/>
      <c r="L1389" s="14"/>
      <c r="M1389" s="14"/>
    </row>
    <row r="1390" spans="1:8" ht="12.75">
      <c r="A1390" s="29" t="s">
        <v>5</v>
      </c>
      <c r="B1390" s="62" t="s">
        <v>138</v>
      </c>
      <c r="C1390" s="6">
        <v>0</v>
      </c>
      <c r="D1390" s="49">
        <v>0</v>
      </c>
      <c r="E1390" s="88">
        <f t="shared" si="34"/>
        <v>0</v>
      </c>
      <c r="F1390" s="6">
        <v>0</v>
      </c>
      <c r="G1390" s="6">
        <v>0</v>
      </c>
      <c r="H1390" s="85"/>
    </row>
    <row r="1391" spans="1:8" ht="12.75">
      <c r="A1391" s="143" t="s">
        <v>259</v>
      </c>
      <c r="B1391" s="62" t="s">
        <v>260</v>
      </c>
      <c r="C1391" s="6">
        <v>0</v>
      </c>
      <c r="D1391" s="49">
        <v>36315.73</v>
      </c>
      <c r="E1391" s="88">
        <f>F1391-D1391</f>
        <v>0</v>
      </c>
      <c r="F1391" s="6">
        <f>50000-13684.27</f>
        <v>36315.729999999996</v>
      </c>
      <c r="G1391" s="6">
        <v>160000</v>
      </c>
      <c r="H1391" s="85"/>
    </row>
    <row r="1392" spans="1:8" ht="12.75">
      <c r="A1392" s="29" t="s">
        <v>270</v>
      </c>
      <c r="B1392" s="62" t="s">
        <v>271</v>
      </c>
      <c r="C1392" s="88">
        <v>0</v>
      </c>
      <c r="D1392" s="49">
        <v>7500</v>
      </c>
      <c r="E1392" s="88">
        <f>F1392-D1392</f>
        <v>0</v>
      </c>
      <c r="F1392" s="88">
        <v>7500</v>
      </c>
      <c r="G1392" s="88">
        <v>7500</v>
      </c>
      <c r="H1392" s="85"/>
    </row>
    <row r="1393" spans="1:8" ht="12.75">
      <c r="A1393" s="268" t="s">
        <v>58</v>
      </c>
      <c r="B1393" s="63" t="s">
        <v>153</v>
      </c>
      <c r="C1393" s="139">
        <v>0</v>
      </c>
      <c r="D1393" s="49">
        <v>0</v>
      </c>
      <c r="E1393" s="88">
        <f t="shared" si="34"/>
        <v>0</v>
      </c>
      <c r="F1393" s="139">
        <v>0</v>
      </c>
      <c r="G1393" s="139">
        <v>0</v>
      </c>
      <c r="H1393" s="2"/>
    </row>
    <row r="1394" spans="1:11" ht="14.25" customHeight="1">
      <c r="A1394" s="308" t="s">
        <v>192</v>
      </c>
      <c r="B1394" s="7"/>
      <c r="C1394" s="8">
        <f>SUM(C1377:C1393)</f>
        <v>1016377.8</v>
      </c>
      <c r="D1394" s="8">
        <f>SUM(D1377:D1393)</f>
        <v>533481.29</v>
      </c>
      <c r="E1394" s="8">
        <f>SUM(E1377:E1393)</f>
        <v>684018.71</v>
      </c>
      <c r="F1394" s="8">
        <f>SUM(F1377:F1393)</f>
        <v>1217500</v>
      </c>
      <c r="G1394" s="140">
        <f>SUM(G1377:G1393)</f>
        <v>1294300</v>
      </c>
      <c r="H1394" s="59"/>
      <c r="J1394" s="14">
        <f>G1394</f>
        <v>1294300</v>
      </c>
      <c r="K1394" s="14"/>
    </row>
    <row r="1395" spans="1:8" ht="12.75">
      <c r="A1395" s="269" t="s">
        <v>44</v>
      </c>
      <c r="B1395" s="5"/>
      <c r="C1395" s="5"/>
      <c r="D1395" s="5"/>
      <c r="E1395" s="5"/>
      <c r="F1395" s="6"/>
      <c r="G1395" s="6"/>
      <c r="H1395" s="2"/>
    </row>
    <row r="1396" spans="1:8" ht="12.75">
      <c r="A1396" s="29" t="s">
        <v>26</v>
      </c>
      <c r="B1396" s="39" t="s">
        <v>155</v>
      </c>
      <c r="C1396" s="6">
        <v>89745</v>
      </c>
      <c r="D1396" s="6">
        <v>0</v>
      </c>
      <c r="E1396" s="88">
        <f aca="true" t="shared" si="35" ref="E1396:E1401">F1396-D1396</f>
        <v>90000</v>
      </c>
      <c r="F1396" s="6">
        <f>90000</f>
        <v>90000</v>
      </c>
      <c r="G1396" s="6">
        <v>0</v>
      </c>
      <c r="H1396" s="2"/>
    </row>
    <row r="1397" spans="1:8" ht="12.75">
      <c r="A1397" s="268" t="s">
        <v>31</v>
      </c>
      <c r="B1397" s="63" t="s">
        <v>156</v>
      </c>
      <c r="C1397" s="6">
        <v>0</v>
      </c>
      <c r="D1397" s="6">
        <v>0</v>
      </c>
      <c r="E1397" s="88">
        <f t="shared" si="35"/>
        <v>0</v>
      </c>
      <c r="F1397" s="6">
        <v>0</v>
      </c>
      <c r="G1397" s="6">
        <v>0</v>
      </c>
      <c r="H1397" s="2"/>
    </row>
    <row r="1398" spans="1:8" ht="12.75">
      <c r="A1398" s="29" t="s">
        <v>92</v>
      </c>
      <c r="B1398" s="39" t="s">
        <v>157</v>
      </c>
      <c r="C1398" s="6">
        <v>0</v>
      </c>
      <c r="D1398" s="6">
        <v>61990</v>
      </c>
      <c r="E1398" s="88">
        <f t="shared" si="35"/>
        <v>3010</v>
      </c>
      <c r="F1398" s="6">
        <v>65000</v>
      </c>
      <c r="G1398" s="6">
        <v>0</v>
      </c>
      <c r="H1398" s="2"/>
    </row>
    <row r="1399" spans="1:8" ht="12.75">
      <c r="A1399" s="268" t="s">
        <v>107</v>
      </c>
      <c r="B1399" s="39" t="s">
        <v>157</v>
      </c>
      <c r="C1399" s="6">
        <v>0</v>
      </c>
      <c r="D1399" s="6">
        <v>0</v>
      </c>
      <c r="E1399" s="88">
        <f t="shared" si="35"/>
        <v>0</v>
      </c>
      <c r="F1399" s="6">
        <v>0</v>
      </c>
      <c r="G1399" s="6">
        <v>0</v>
      </c>
      <c r="H1399" s="2"/>
    </row>
    <row r="1400" spans="1:8" ht="12.75">
      <c r="A1400" s="268" t="s">
        <v>108</v>
      </c>
      <c r="B1400" s="39" t="s">
        <v>157</v>
      </c>
      <c r="C1400" s="6">
        <v>0</v>
      </c>
      <c r="D1400" s="6">
        <v>0</v>
      </c>
      <c r="E1400" s="88">
        <f t="shared" si="35"/>
        <v>0</v>
      </c>
      <c r="F1400" s="6">
        <v>0</v>
      </c>
      <c r="G1400" s="6">
        <v>0</v>
      </c>
      <c r="H1400" s="2"/>
    </row>
    <row r="1401" spans="1:8" ht="12.75">
      <c r="A1401" s="29" t="s">
        <v>110</v>
      </c>
      <c r="B1401" s="39" t="s">
        <v>158</v>
      </c>
      <c r="C1401" s="6">
        <v>0</v>
      </c>
      <c r="D1401" s="6">
        <v>0</v>
      </c>
      <c r="E1401" s="88">
        <f t="shared" si="35"/>
        <v>0</v>
      </c>
      <c r="F1401" s="6">
        <v>0</v>
      </c>
      <c r="G1401" s="6">
        <v>0</v>
      </c>
      <c r="H1401" s="2"/>
    </row>
    <row r="1402" spans="1:12" ht="12.75">
      <c r="A1402" s="269" t="s">
        <v>77</v>
      </c>
      <c r="B1402" s="7"/>
      <c r="C1402" s="8">
        <f>SUM(C1396:C1401)</f>
        <v>89745</v>
      </c>
      <c r="D1402" s="8">
        <f>SUM(D1396:D1401)</f>
        <v>61990</v>
      </c>
      <c r="E1402" s="8">
        <f>SUM(E1396:E1401)</f>
        <v>93010</v>
      </c>
      <c r="F1402" s="8">
        <f>SUM(F1396:F1401)</f>
        <v>155000</v>
      </c>
      <c r="G1402" s="8">
        <f>SUM(G1396:G1401)</f>
        <v>0</v>
      </c>
      <c r="H1402" s="2"/>
      <c r="L1402" s="14">
        <f>G1402</f>
        <v>0</v>
      </c>
    </row>
    <row r="1403" spans="1:8" ht="12.75">
      <c r="A1403" s="451" t="s">
        <v>34</v>
      </c>
      <c r="B1403" s="452"/>
      <c r="C1403" s="453">
        <f>C1367+C1394+C1402</f>
        <v>5006219.1</v>
      </c>
      <c r="D1403" s="453">
        <f>D1367+D1394+D1402</f>
        <v>2630316.94</v>
      </c>
      <c r="E1403" s="453">
        <f>E1367+E1394+E1402</f>
        <v>2859653.54</v>
      </c>
      <c r="F1403" s="453">
        <f>F1367+F1394+F1402</f>
        <v>5489970.48</v>
      </c>
      <c r="G1403" s="453">
        <f>G1367+G1394+G1402</f>
        <v>5555377.73</v>
      </c>
      <c r="H1403" s="59"/>
    </row>
    <row r="1404" spans="1:8" ht="9" customHeight="1">
      <c r="A1404" s="2"/>
      <c r="B1404" s="2"/>
      <c r="C1404" s="59"/>
      <c r="D1404" s="59"/>
      <c r="E1404" s="59"/>
      <c r="F1404" s="59"/>
      <c r="G1404" s="59"/>
      <c r="H1404" s="2"/>
    </row>
    <row r="1405" spans="1:8" ht="12.75">
      <c r="A1405" s="2" t="s">
        <v>185</v>
      </c>
      <c r="B1405" s="2" t="s">
        <v>186</v>
      </c>
      <c r="C1405" s="2"/>
      <c r="D1405" s="2"/>
      <c r="E1405" s="161" t="s">
        <v>170</v>
      </c>
      <c r="F1405" s="2"/>
      <c r="G1405" s="59"/>
      <c r="H1405" s="2"/>
    </row>
    <row r="1406" spans="1:8" ht="3.75" customHeight="1">
      <c r="A1406" s="2"/>
      <c r="B1406" s="2"/>
      <c r="C1406" s="2"/>
      <c r="D1406" s="2"/>
      <c r="E1406" s="161"/>
      <c r="F1406" s="2"/>
      <c r="G1406" s="59"/>
      <c r="H1406" s="2"/>
    </row>
    <row r="1407" spans="1:8" ht="12" customHeight="1">
      <c r="A1407" s="2"/>
      <c r="B1407" s="22"/>
      <c r="C1407" s="22"/>
      <c r="D1407" s="22"/>
      <c r="E1407" s="162"/>
      <c r="F1407" s="22"/>
      <c r="G1407" s="2"/>
      <c r="H1407" s="2"/>
    </row>
    <row r="1408" spans="1:8" ht="12.75">
      <c r="A1408" s="22" t="s">
        <v>196</v>
      </c>
      <c r="B1408" s="22" t="s">
        <v>277</v>
      </c>
      <c r="C1408" s="22"/>
      <c r="D1408" s="22"/>
      <c r="E1408" s="162" t="s">
        <v>161</v>
      </c>
      <c r="F1408" s="22"/>
      <c r="G1408" s="2"/>
      <c r="H1408" s="154"/>
    </row>
    <row r="1409" spans="1:8" ht="12.75">
      <c r="A1409" s="2" t="s">
        <v>197</v>
      </c>
      <c r="B1409" s="2" t="s">
        <v>373</v>
      </c>
      <c r="C1409" s="2"/>
      <c r="D1409" s="2"/>
      <c r="E1409" s="161" t="s">
        <v>25</v>
      </c>
      <c r="F1409" s="2"/>
      <c r="G1409" s="2"/>
      <c r="H1409" s="163"/>
    </row>
    <row r="1410" spans="1:8" ht="12.75">
      <c r="A1410" s="2"/>
      <c r="B1410" s="2"/>
      <c r="C1410" s="2"/>
      <c r="D1410" s="2"/>
      <c r="E1410" s="161"/>
      <c r="F1410" s="2"/>
      <c r="G1410" s="2"/>
      <c r="H1410" s="163"/>
    </row>
    <row r="1411" spans="1:8" ht="12.75">
      <c r="A1411" s="2"/>
      <c r="B1411" s="2"/>
      <c r="C1411" s="2"/>
      <c r="D1411" s="2"/>
      <c r="E1411" s="161"/>
      <c r="F1411" s="2"/>
      <c r="G1411" s="2"/>
      <c r="H1411" s="2"/>
    </row>
    <row r="1412" spans="1:8" ht="12.75">
      <c r="A1412" s="19" t="s">
        <v>208</v>
      </c>
      <c r="B1412" s="2"/>
      <c r="C1412" s="2"/>
      <c r="D1412" s="2"/>
      <c r="E1412" s="2"/>
      <c r="F1412" s="2"/>
      <c r="G1412" s="2"/>
      <c r="H1412" s="2"/>
    </row>
    <row r="1413" spans="1:8" ht="12.75">
      <c r="A1413" s="19"/>
      <c r="B1413" s="2"/>
      <c r="C1413" s="2"/>
      <c r="D1413" s="2"/>
      <c r="E1413" s="2"/>
      <c r="F1413" s="2"/>
      <c r="G1413" s="2"/>
      <c r="H1413" s="22"/>
    </row>
    <row r="1414" spans="1:8" ht="12.75">
      <c r="A1414" s="2"/>
      <c r="B1414" s="2"/>
      <c r="C1414" s="2"/>
      <c r="D1414" s="2"/>
      <c r="E1414" s="2"/>
      <c r="F1414" s="2"/>
      <c r="G1414" s="2"/>
      <c r="H1414" s="138"/>
    </row>
    <row r="1415" spans="1:8" ht="15">
      <c r="A1415" s="474" t="s">
        <v>165</v>
      </c>
      <c r="B1415" s="474"/>
      <c r="C1415" s="474"/>
      <c r="D1415" s="474"/>
      <c r="E1415" s="474"/>
      <c r="F1415" s="474"/>
      <c r="G1415" s="474"/>
      <c r="H1415" s="138"/>
    </row>
    <row r="1416" spans="1:8" ht="15">
      <c r="A1416" s="474" t="s">
        <v>172</v>
      </c>
      <c r="B1416" s="474"/>
      <c r="C1416" s="474"/>
      <c r="D1416" s="474"/>
      <c r="E1416" s="474"/>
      <c r="F1416" s="474"/>
      <c r="G1416" s="474"/>
      <c r="H1416" s="59"/>
    </row>
    <row r="1417" spans="1:8" ht="12.75">
      <c r="A1417" s="54"/>
      <c r="B1417" s="54"/>
      <c r="C1417" s="54"/>
      <c r="D1417" s="54"/>
      <c r="E1417" s="54"/>
      <c r="F1417" s="54"/>
      <c r="G1417" s="54"/>
      <c r="H1417" s="59"/>
    </row>
    <row r="1418" spans="1:8" ht="12.75">
      <c r="A1418" s="54"/>
      <c r="B1418" s="54"/>
      <c r="C1418" s="54"/>
      <c r="D1418" s="54"/>
      <c r="E1418" s="54"/>
      <c r="F1418" s="54"/>
      <c r="G1418" s="54"/>
      <c r="H1418" s="59"/>
    </row>
    <row r="1419" spans="1:8" ht="12.75">
      <c r="A1419" s="21" t="s">
        <v>52</v>
      </c>
      <c r="B1419" s="21" t="s">
        <v>48</v>
      </c>
      <c r="C1419" s="21"/>
      <c r="D1419" s="21"/>
      <c r="E1419" s="21"/>
      <c r="F1419" s="2"/>
      <c r="G1419" s="2"/>
      <c r="H1419" s="59"/>
    </row>
    <row r="1420" spans="1:8" ht="12.75">
      <c r="A1420" s="21"/>
      <c r="B1420" s="21"/>
      <c r="C1420" s="21"/>
      <c r="D1420" s="21"/>
      <c r="E1420" s="21"/>
      <c r="F1420" s="2"/>
      <c r="G1420" s="2"/>
      <c r="H1420" s="59"/>
    </row>
    <row r="1421" spans="1:9" ht="12.75">
      <c r="A1421" s="2"/>
      <c r="B1421" s="2"/>
      <c r="C1421" s="2"/>
      <c r="D1421" s="2"/>
      <c r="E1421" s="2"/>
      <c r="F1421" s="2"/>
      <c r="G1421" s="2"/>
      <c r="H1421" s="59"/>
      <c r="I1421" s="14"/>
    </row>
    <row r="1422" spans="1:9" ht="12.75">
      <c r="A1422" s="23"/>
      <c r="B1422" s="23"/>
      <c r="C1422" s="475" t="s">
        <v>79</v>
      </c>
      <c r="D1422" s="479" t="s">
        <v>166</v>
      </c>
      <c r="E1422" s="480"/>
      <c r="F1422" s="481"/>
      <c r="G1422" s="482" t="s">
        <v>73</v>
      </c>
      <c r="H1422" s="59"/>
      <c r="I1422" s="14"/>
    </row>
    <row r="1423" spans="1:8" ht="12.75">
      <c r="A1423" s="24" t="s">
        <v>167</v>
      </c>
      <c r="B1423" s="304" t="s">
        <v>241</v>
      </c>
      <c r="C1423" s="476"/>
      <c r="D1423" s="24" t="s">
        <v>168</v>
      </c>
      <c r="E1423" s="24" t="s">
        <v>169</v>
      </c>
      <c r="F1423" s="477" t="s">
        <v>23</v>
      </c>
      <c r="G1423" s="483"/>
      <c r="H1423" s="59"/>
    </row>
    <row r="1424" spans="1:8" ht="12.75">
      <c r="A1424" s="24"/>
      <c r="B1424" s="24"/>
      <c r="C1424" s="24" t="s">
        <v>53</v>
      </c>
      <c r="D1424" s="24" t="s">
        <v>53</v>
      </c>
      <c r="E1424" s="156" t="s">
        <v>86</v>
      </c>
      <c r="F1424" s="478"/>
      <c r="G1424" s="3" t="s">
        <v>54</v>
      </c>
      <c r="H1424" s="59"/>
    </row>
    <row r="1425" spans="1:8" ht="12.75">
      <c r="A1425" s="46">
        <v>1</v>
      </c>
      <c r="B1425" s="46">
        <v>2</v>
      </c>
      <c r="C1425" s="46">
        <v>3</v>
      </c>
      <c r="D1425" s="90">
        <v>4</v>
      </c>
      <c r="E1425" s="90">
        <v>5</v>
      </c>
      <c r="F1425" s="90">
        <v>6</v>
      </c>
      <c r="G1425" s="91">
        <v>7</v>
      </c>
      <c r="H1425" s="59"/>
    </row>
    <row r="1426" spans="1:8" ht="12.75">
      <c r="A1426" s="5"/>
      <c r="B1426" s="5"/>
      <c r="C1426" s="5"/>
      <c r="D1426" s="116"/>
      <c r="E1426" s="116"/>
      <c r="F1426" s="116"/>
      <c r="G1426" s="5"/>
      <c r="H1426" s="59"/>
    </row>
    <row r="1427" spans="1:8" ht="15">
      <c r="A1427" s="18" t="s">
        <v>43</v>
      </c>
      <c r="B1427" s="72"/>
      <c r="C1427" s="5"/>
      <c r="D1427" s="116"/>
      <c r="E1427" s="116"/>
      <c r="F1427" s="116"/>
      <c r="G1427" s="92"/>
      <c r="H1427" s="59"/>
    </row>
    <row r="1428" spans="1:8" ht="12.75">
      <c r="A1428" s="41" t="s">
        <v>223</v>
      </c>
      <c r="B1428" s="157" t="s">
        <v>113</v>
      </c>
      <c r="C1428" s="49">
        <v>1211712</v>
      </c>
      <c r="D1428" s="191">
        <v>621144</v>
      </c>
      <c r="E1428" s="88">
        <f aca="true" t="shared" si="36" ref="E1428:E1442">F1428-D1428</f>
        <v>621144</v>
      </c>
      <c r="F1428" s="49">
        <v>1242288</v>
      </c>
      <c r="G1428" s="49">
        <v>1274136</v>
      </c>
      <c r="H1428" s="59"/>
    </row>
    <row r="1429" spans="1:8" ht="12.75">
      <c r="A1429" s="29" t="s">
        <v>224</v>
      </c>
      <c r="B1429" s="157" t="s">
        <v>114</v>
      </c>
      <c r="C1429" s="49">
        <v>48000</v>
      </c>
      <c r="D1429" s="191">
        <v>24000</v>
      </c>
      <c r="E1429" s="88">
        <f t="shared" si="36"/>
        <v>48000</v>
      </c>
      <c r="F1429" s="49">
        <v>72000</v>
      </c>
      <c r="G1429" s="49">
        <v>72000</v>
      </c>
      <c r="H1429" s="59"/>
    </row>
    <row r="1430" spans="1:8" ht="12.75">
      <c r="A1430" s="41" t="s">
        <v>42</v>
      </c>
      <c r="B1430" s="157" t="s">
        <v>115</v>
      </c>
      <c r="C1430" s="49">
        <v>57375</v>
      </c>
      <c r="D1430" s="191">
        <v>38250</v>
      </c>
      <c r="E1430" s="88">
        <f t="shared" si="36"/>
        <v>38250</v>
      </c>
      <c r="F1430" s="49">
        <v>76500</v>
      </c>
      <c r="G1430" s="49">
        <v>76500</v>
      </c>
      <c r="H1430" s="59"/>
    </row>
    <row r="1431" spans="1:8" ht="12.75">
      <c r="A1431" s="41" t="s">
        <v>3</v>
      </c>
      <c r="B1431" s="62" t="s">
        <v>159</v>
      </c>
      <c r="C1431" s="49">
        <v>57375</v>
      </c>
      <c r="D1431" s="191">
        <v>27071.47</v>
      </c>
      <c r="E1431" s="88">
        <f t="shared" si="36"/>
        <v>49428.53</v>
      </c>
      <c r="F1431" s="49">
        <v>76500</v>
      </c>
      <c r="G1431" s="49">
        <v>76500</v>
      </c>
      <c r="H1431" s="59"/>
    </row>
    <row r="1432" spans="1:8" ht="12.75">
      <c r="A1432" s="41" t="s">
        <v>209</v>
      </c>
      <c r="B1432" s="157" t="s">
        <v>116</v>
      </c>
      <c r="C1432" s="49">
        <v>12000</v>
      </c>
      <c r="D1432" s="191">
        <v>12000</v>
      </c>
      <c r="E1432" s="88">
        <f t="shared" si="36"/>
        <v>6000</v>
      </c>
      <c r="F1432" s="49">
        <v>18000</v>
      </c>
      <c r="G1432" s="49">
        <v>18000</v>
      </c>
      <c r="H1432" s="59"/>
    </row>
    <row r="1433" spans="1:8" ht="12.75">
      <c r="A1433" s="41" t="s">
        <v>175</v>
      </c>
      <c r="B1433" s="157" t="s">
        <v>176</v>
      </c>
      <c r="C1433" s="64">
        <v>10000</v>
      </c>
      <c r="D1433" s="152">
        <v>0</v>
      </c>
      <c r="E1433" s="88">
        <f t="shared" si="36"/>
        <v>15000</v>
      </c>
      <c r="F1433" s="64">
        <v>15000</v>
      </c>
      <c r="G1433" s="64">
        <v>15000</v>
      </c>
      <c r="H1433" s="2"/>
    </row>
    <row r="1434" spans="1:9" ht="12.75">
      <c r="A1434" s="41" t="s">
        <v>27</v>
      </c>
      <c r="B1434" s="157" t="s">
        <v>117</v>
      </c>
      <c r="C1434" s="49">
        <v>15000</v>
      </c>
      <c r="D1434" s="191">
        <v>0</v>
      </c>
      <c r="E1434" s="88">
        <f t="shared" si="36"/>
        <v>15000</v>
      </c>
      <c r="F1434" s="49">
        <v>15000</v>
      </c>
      <c r="G1434" s="49">
        <v>15000</v>
      </c>
      <c r="H1434" s="16"/>
      <c r="I1434" s="14"/>
    </row>
    <row r="1435" spans="1:8" ht="12.75">
      <c r="A1435" s="41" t="s">
        <v>96</v>
      </c>
      <c r="B1435" s="157" t="s">
        <v>118</v>
      </c>
      <c r="C1435" s="49">
        <v>100418</v>
      </c>
      <c r="D1435" s="191">
        <v>0</v>
      </c>
      <c r="E1435" s="88">
        <f t="shared" si="36"/>
        <v>103524</v>
      </c>
      <c r="F1435" s="49">
        <f>F1428/12</f>
        <v>103524</v>
      </c>
      <c r="G1435" s="49">
        <f>G1428/12</f>
        <v>106178</v>
      </c>
      <c r="H1435" s="59"/>
    </row>
    <row r="1436" spans="1:8" ht="12.75">
      <c r="A1436" s="41" t="s">
        <v>173</v>
      </c>
      <c r="B1436" s="157" t="s">
        <v>174</v>
      </c>
      <c r="C1436" s="49">
        <v>100976</v>
      </c>
      <c r="D1436" s="64">
        <v>28375</v>
      </c>
      <c r="E1436" s="88">
        <f t="shared" si="36"/>
        <v>75149</v>
      </c>
      <c r="F1436" s="49">
        <f>F1435</f>
        <v>103524</v>
      </c>
      <c r="G1436" s="49">
        <f>G1435</f>
        <v>106178</v>
      </c>
      <c r="H1436" s="59"/>
    </row>
    <row r="1437" spans="1:8" ht="12.75">
      <c r="A1437" s="41" t="s">
        <v>235</v>
      </c>
      <c r="B1437" s="157" t="s">
        <v>119</v>
      </c>
      <c r="C1437" s="49">
        <v>139274</v>
      </c>
      <c r="D1437" s="191">
        <v>20430</v>
      </c>
      <c r="E1437" s="88">
        <f t="shared" si="36"/>
        <v>128644.56</v>
      </c>
      <c r="F1437" s="49">
        <f>F1428*12%</f>
        <v>149074.56</v>
      </c>
      <c r="G1437" s="49">
        <v>152896.32</v>
      </c>
      <c r="H1437" s="59"/>
    </row>
    <row r="1438" spans="1:8" ht="12" customHeight="1">
      <c r="A1438" s="41" t="s">
        <v>28</v>
      </c>
      <c r="B1438" s="157" t="s">
        <v>120</v>
      </c>
      <c r="C1438" s="49">
        <v>2400</v>
      </c>
      <c r="D1438" s="191">
        <v>1200</v>
      </c>
      <c r="E1438" s="88">
        <f t="shared" si="36"/>
        <v>2400</v>
      </c>
      <c r="F1438" s="49">
        <v>3600</v>
      </c>
      <c r="G1438" s="49">
        <v>3600</v>
      </c>
      <c r="H1438" s="59"/>
    </row>
    <row r="1439" spans="1:8" ht="12.75" customHeight="1">
      <c r="A1439" s="41" t="s">
        <v>69</v>
      </c>
      <c r="B1439" s="157" t="s">
        <v>121</v>
      </c>
      <c r="C1439" s="49">
        <v>4892.64</v>
      </c>
      <c r="D1439" s="191">
        <v>2695.65</v>
      </c>
      <c r="E1439" s="88">
        <f t="shared" si="36"/>
        <v>22150.109999999997</v>
      </c>
      <c r="F1439" s="49">
        <v>24845.76</v>
      </c>
      <c r="G1439" s="49">
        <v>28668.06</v>
      </c>
      <c r="H1439" s="59"/>
    </row>
    <row r="1440" spans="1:8" ht="12.75">
      <c r="A1440" s="29" t="s">
        <v>122</v>
      </c>
      <c r="B1440" s="157" t="s">
        <v>123</v>
      </c>
      <c r="C1440" s="49">
        <v>2400</v>
      </c>
      <c r="D1440" s="191">
        <v>1200</v>
      </c>
      <c r="E1440" s="88">
        <f t="shared" si="36"/>
        <v>2400</v>
      </c>
      <c r="F1440" s="49">
        <v>3600</v>
      </c>
      <c r="G1440" s="49">
        <v>3600</v>
      </c>
      <c r="H1440" s="59"/>
    </row>
    <row r="1441" spans="1:8" ht="12.75">
      <c r="A1441" s="41" t="s">
        <v>90</v>
      </c>
      <c r="B1441" s="157" t="s">
        <v>124</v>
      </c>
      <c r="C1441" s="6">
        <v>0</v>
      </c>
      <c r="D1441" s="191">
        <v>0</v>
      </c>
      <c r="E1441" s="88">
        <f t="shared" si="36"/>
        <v>0</v>
      </c>
      <c r="F1441" s="6">
        <v>0</v>
      </c>
      <c r="G1441" s="6">
        <v>0</v>
      </c>
      <c r="H1441" s="59"/>
    </row>
    <row r="1442" spans="1:8" ht="12.75">
      <c r="A1442" s="41" t="s">
        <v>99</v>
      </c>
      <c r="B1442" s="157" t="s">
        <v>125</v>
      </c>
      <c r="C1442" s="49">
        <v>32226.4</v>
      </c>
      <c r="D1442" s="191">
        <v>22868.97</v>
      </c>
      <c r="E1442" s="88">
        <f t="shared" si="36"/>
        <v>27022.040748</v>
      </c>
      <c r="F1442" s="49">
        <f>F1435*10*0.0481927</f>
        <v>49891.010748</v>
      </c>
      <c r="G1442" s="60">
        <v>51170.05</v>
      </c>
      <c r="H1442" s="59"/>
    </row>
    <row r="1443" spans="1:8" ht="12.75">
      <c r="A1443" s="5"/>
      <c r="B1443" s="33"/>
      <c r="C1443" s="49"/>
      <c r="D1443" s="49"/>
      <c r="E1443" s="49"/>
      <c r="F1443" s="49"/>
      <c r="G1443" s="49"/>
      <c r="H1443" s="59"/>
    </row>
    <row r="1444" spans="1:9" ht="12.75">
      <c r="A1444" s="18" t="s">
        <v>193</v>
      </c>
      <c r="B1444" s="42"/>
      <c r="C1444" s="50">
        <f>SUM(C1428:C1442)</f>
        <v>1794049.0399999998</v>
      </c>
      <c r="D1444" s="50">
        <f>SUM(D1428:D1442)</f>
        <v>799235.09</v>
      </c>
      <c r="E1444" s="50">
        <f>SUM(E1428:E1442)</f>
        <v>1154112.240748</v>
      </c>
      <c r="F1444" s="50">
        <f>SUM(F1428:F1442)</f>
        <v>1953347.3307480002</v>
      </c>
      <c r="G1444" s="303">
        <f>SUM(G1428:G1442)</f>
        <v>1999426.4300000002</v>
      </c>
      <c r="H1444" s="59"/>
      <c r="I1444" s="13"/>
    </row>
    <row r="1445" spans="1:8" ht="12.75">
      <c r="A1445" s="42"/>
      <c r="B1445" s="42"/>
      <c r="C1445" s="50"/>
      <c r="D1445" s="50"/>
      <c r="E1445" s="50"/>
      <c r="F1445" s="50"/>
      <c r="G1445" s="50"/>
      <c r="H1445" s="169"/>
    </row>
    <row r="1446" spans="1:9" ht="12.75">
      <c r="A1446" s="103"/>
      <c r="B1446" s="103"/>
      <c r="C1446" s="192"/>
      <c r="D1446" s="192"/>
      <c r="E1446" s="192"/>
      <c r="F1446" s="192"/>
      <c r="G1446" s="192"/>
      <c r="H1446" s="169"/>
      <c r="I1446" s="16"/>
    </row>
    <row r="1447" spans="1:9" ht="12.75">
      <c r="A1447" s="104"/>
      <c r="B1447" s="104"/>
      <c r="C1447" s="173"/>
      <c r="D1447" s="173"/>
      <c r="E1447" s="173"/>
      <c r="F1447" s="173"/>
      <c r="G1447" s="173"/>
      <c r="H1447" s="169"/>
      <c r="I1447" s="16"/>
    </row>
    <row r="1448" spans="1:9" ht="12.75">
      <c r="A1448" s="104"/>
      <c r="B1448" s="104"/>
      <c r="C1448" s="173"/>
      <c r="D1448" s="173"/>
      <c r="E1448" s="173"/>
      <c r="F1448" s="173"/>
      <c r="G1448" s="173"/>
      <c r="H1448" s="169"/>
      <c r="I1448" s="16"/>
    </row>
    <row r="1449" spans="1:9" ht="6" customHeight="1" hidden="1">
      <c r="A1449" s="104"/>
      <c r="B1449" s="104"/>
      <c r="C1449" s="173"/>
      <c r="D1449" s="173"/>
      <c r="E1449" s="173"/>
      <c r="F1449" s="173"/>
      <c r="G1449" s="173"/>
      <c r="H1449" s="169"/>
      <c r="I1449" s="16"/>
    </row>
    <row r="1450" spans="1:9" ht="14.25" customHeight="1">
      <c r="A1450" s="193"/>
      <c r="B1450" s="193"/>
      <c r="C1450" s="194"/>
      <c r="D1450" s="194"/>
      <c r="E1450" s="194"/>
      <c r="F1450" s="194"/>
      <c r="G1450" s="194"/>
      <c r="H1450" s="169"/>
      <c r="I1450" s="16"/>
    </row>
    <row r="1451" spans="1:9" ht="12.75">
      <c r="A1451" s="24"/>
      <c r="B1451" s="24"/>
      <c r="C1451" s="475" t="s">
        <v>79</v>
      </c>
      <c r="D1451" s="479" t="s">
        <v>166</v>
      </c>
      <c r="E1451" s="480"/>
      <c r="F1451" s="481"/>
      <c r="G1451" s="482" t="s">
        <v>73</v>
      </c>
      <c r="H1451" s="169"/>
      <c r="I1451" s="16"/>
    </row>
    <row r="1452" spans="1:9" ht="12.75">
      <c r="A1452" s="24" t="s">
        <v>167</v>
      </c>
      <c r="B1452" s="304" t="s">
        <v>241</v>
      </c>
      <c r="C1452" s="476"/>
      <c r="D1452" s="24" t="s">
        <v>168</v>
      </c>
      <c r="E1452" s="24" t="s">
        <v>169</v>
      </c>
      <c r="F1452" s="477" t="s">
        <v>23</v>
      </c>
      <c r="G1452" s="483"/>
      <c r="H1452" s="169"/>
      <c r="I1452" s="16"/>
    </row>
    <row r="1453" spans="1:9" ht="12.75">
      <c r="A1453" s="24"/>
      <c r="B1453" s="24"/>
      <c r="C1453" s="24" t="s">
        <v>53</v>
      </c>
      <c r="D1453" s="24" t="s">
        <v>53</v>
      </c>
      <c r="E1453" s="156" t="s">
        <v>86</v>
      </c>
      <c r="F1453" s="478"/>
      <c r="G1453" s="3" t="s">
        <v>54</v>
      </c>
      <c r="H1453" s="169"/>
      <c r="I1453" s="16"/>
    </row>
    <row r="1454" spans="1:9" ht="12.75">
      <c r="A1454" s="46">
        <v>1</v>
      </c>
      <c r="B1454" s="46">
        <v>2</v>
      </c>
      <c r="C1454" s="46">
        <v>3</v>
      </c>
      <c r="D1454" s="90">
        <v>4</v>
      </c>
      <c r="E1454" s="90">
        <v>5</v>
      </c>
      <c r="F1454" s="90">
        <v>6</v>
      </c>
      <c r="G1454" s="91">
        <v>7</v>
      </c>
      <c r="H1454" s="169"/>
      <c r="I1454" s="16"/>
    </row>
    <row r="1455" spans="1:8" ht="14.25">
      <c r="A1455" s="43" t="s">
        <v>178</v>
      </c>
      <c r="B1455" s="160"/>
      <c r="C1455" s="5"/>
      <c r="D1455" s="5"/>
      <c r="E1455" s="5"/>
      <c r="F1455" s="5"/>
      <c r="G1455" s="5"/>
      <c r="H1455" s="169"/>
    </row>
    <row r="1456" spans="1:8" ht="12.75">
      <c r="A1456" s="29" t="s">
        <v>191</v>
      </c>
      <c r="B1456" s="62" t="s">
        <v>126</v>
      </c>
      <c r="C1456" s="49">
        <v>46915</v>
      </c>
      <c r="D1456" s="343">
        <v>12560</v>
      </c>
      <c r="E1456" s="88">
        <f aca="true" t="shared" si="37" ref="E1456:E1467">F1456-D1456</f>
        <v>37440</v>
      </c>
      <c r="F1456" s="49">
        <f>2000+6000+7000+2000+10000+23000</f>
        <v>50000</v>
      </c>
      <c r="G1456" s="49">
        <f>2000+6000+7000+2000+10000+23000</f>
        <v>50000</v>
      </c>
      <c r="H1456" s="169"/>
    </row>
    <row r="1457" spans="1:8" ht="12.75">
      <c r="A1457" s="41" t="s">
        <v>19</v>
      </c>
      <c r="B1457" s="62" t="s">
        <v>127</v>
      </c>
      <c r="C1457" s="49">
        <v>8795</v>
      </c>
      <c r="D1457" s="343">
        <v>6000</v>
      </c>
      <c r="E1457" s="88">
        <f t="shared" si="37"/>
        <v>4000</v>
      </c>
      <c r="F1457" s="49">
        <v>10000</v>
      </c>
      <c r="G1457" s="49">
        <v>10000</v>
      </c>
      <c r="H1457" s="133"/>
    </row>
    <row r="1458" spans="1:8" ht="12.75">
      <c r="A1458" s="41" t="s">
        <v>2</v>
      </c>
      <c r="B1458" s="62" t="s">
        <v>128</v>
      </c>
      <c r="C1458" s="49">
        <v>473680.56</v>
      </c>
      <c r="D1458" s="343">
        <v>11779.8</v>
      </c>
      <c r="E1458" s="88">
        <f t="shared" si="37"/>
        <v>468875.2</v>
      </c>
      <c r="F1458" s="49">
        <f>50000+430655</f>
        <v>480655</v>
      </c>
      <c r="G1458" s="49">
        <f>50000+430655</f>
        <v>480655</v>
      </c>
      <c r="H1458" s="133"/>
    </row>
    <row r="1459" spans="1:8" ht="12.75">
      <c r="A1459" s="317" t="s">
        <v>341</v>
      </c>
      <c r="B1459" s="62" t="s">
        <v>219</v>
      </c>
      <c r="C1459" s="49">
        <v>0</v>
      </c>
      <c r="D1459" s="343">
        <v>0</v>
      </c>
      <c r="E1459" s="88">
        <f t="shared" si="37"/>
        <v>0</v>
      </c>
      <c r="F1459" s="49">
        <v>0</v>
      </c>
      <c r="G1459" s="49">
        <v>0</v>
      </c>
      <c r="H1459" s="133"/>
    </row>
    <row r="1460" spans="1:8" ht="12.75">
      <c r="A1460" s="29" t="s">
        <v>63</v>
      </c>
      <c r="B1460" s="62" t="s">
        <v>131</v>
      </c>
      <c r="C1460" s="49">
        <v>1680</v>
      </c>
      <c r="D1460" s="343">
        <v>0</v>
      </c>
      <c r="E1460" s="88">
        <f t="shared" si="37"/>
        <v>2000</v>
      </c>
      <c r="F1460" s="49">
        <v>2000</v>
      </c>
      <c r="G1460" s="49">
        <v>2000</v>
      </c>
      <c r="H1460" s="59"/>
    </row>
    <row r="1461" spans="1:8" ht="12.75">
      <c r="A1461" s="29" t="s">
        <v>227</v>
      </c>
      <c r="B1461" s="62" t="s">
        <v>135</v>
      </c>
      <c r="C1461" s="301">
        <v>10000</v>
      </c>
      <c r="D1461" s="139">
        <v>0</v>
      </c>
      <c r="E1461" s="88">
        <f t="shared" si="37"/>
        <v>84000</v>
      </c>
      <c r="F1461" s="301">
        <v>84000</v>
      </c>
      <c r="G1461" s="446">
        <v>84000</v>
      </c>
      <c r="H1461" s="59"/>
    </row>
    <row r="1462" spans="1:11" ht="12.75">
      <c r="A1462" s="41" t="s">
        <v>45</v>
      </c>
      <c r="B1462" s="62" t="s">
        <v>136</v>
      </c>
      <c r="C1462" s="312">
        <v>24000</v>
      </c>
      <c r="D1462" s="444">
        <v>12000</v>
      </c>
      <c r="E1462" s="88">
        <f t="shared" si="37"/>
        <v>12000</v>
      </c>
      <c r="F1462" s="312">
        <v>24000</v>
      </c>
      <c r="G1462" s="447">
        <v>24000</v>
      </c>
      <c r="H1462" s="16"/>
      <c r="J1462" s="14"/>
      <c r="K1462" s="14"/>
    </row>
    <row r="1463" spans="1:11" ht="12.75">
      <c r="A1463" s="29" t="s">
        <v>81</v>
      </c>
      <c r="B1463" s="62" t="s">
        <v>137</v>
      </c>
      <c r="C1463" s="285"/>
      <c r="D1463" s="425">
        <v>0</v>
      </c>
      <c r="E1463" s="88">
        <f t="shared" si="37"/>
        <v>0</v>
      </c>
      <c r="F1463" s="285"/>
      <c r="G1463" s="425"/>
      <c r="H1463" s="170"/>
      <c r="J1463" s="14"/>
      <c r="K1463" s="14"/>
    </row>
    <row r="1464" spans="1:11" ht="12.75">
      <c r="A1464" s="29" t="s">
        <v>286</v>
      </c>
      <c r="B1464" s="62" t="s">
        <v>254</v>
      </c>
      <c r="C1464" s="283">
        <v>339515</v>
      </c>
      <c r="D1464" s="363">
        <v>37875</v>
      </c>
      <c r="E1464" s="152">
        <f t="shared" si="37"/>
        <v>302600</v>
      </c>
      <c r="F1464" s="283">
        <f>180000+160475</f>
        <v>340475</v>
      </c>
      <c r="G1464" s="363">
        <f>180000+160475</f>
        <v>340475</v>
      </c>
      <c r="H1464" s="175"/>
      <c r="J1464" s="14"/>
      <c r="K1464" s="14"/>
    </row>
    <row r="1465" spans="1:11" ht="12.75">
      <c r="A1465" s="29" t="s">
        <v>146</v>
      </c>
      <c r="B1465" s="62" t="s">
        <v>147</v>
      </c>
      <c r="C1465" s="123">
        <v>0</v>
      </c>
      <c r="D1465" s="139">
        <v>0</v>
      </c>
      <c r="E1465" s="88">
        <f t="shared" si="37"/>
        <v>25000</v>
      </c>
      <c r="F1465" s="123">
        <v>25000</v>
      </c>
      <c r="G1465" s="139">
        <v>25000</v>
      </c>
      <c r="H1465" s="175"/>
      <c r="J1465" s="14"/>
      <c r="K1465" s="14"/>
    </row>
    <row r="1466" spans="1:11" ht="12.75">
      <c r="A1466" s="29" t="s">
        <v>270</v>
      </c>
      <c r="B1466" s="62" t="s">
        <v>271</v>
      </c>
      <c r="C1466" s="88">
        <v>0</v>
      </c>
      <c r="D1466" s="191">
        <v>0</v>
      </c>
      <c r="E1466" s="88">
        <f t="shared" si="37"/>
        <v>7000</v>
      </c>
      <c r="F1466" s="88">
        <v>7000</v>
      </c>
      <c r="G1466" s="121">
        <v>7000</v>
      </c>
      <c r="H1466" s="175"/>
      <c r="J1466" s="14"/>
      <c r="K1466" s="14"/>
    </row>
    <row r="1467" spans="1:8" ht="12.75">
      <c r="A1467" s="41" t="s">
        <v>103</v>
      </c>
      <c r="B1467" s="63" t="s">
        <v>153</v>
      </c>
      <c r="C1467" s="302">
        <v>0</v>
      </c>
      <c r="D1467" s="191">
        <v>0</v>
      </c>
      <c r="E1467" s="88">
        <f t="shared" si="37"/>
        <v>0</v>
      </c>
      <c r="F1467" s="302">
        <v>0</v>
      </c>
      <c r="G1467" s="128">
        <v>0</v>
      </c>
      <c r="H1467" s="175"/>
    </row>
    <row r="1468" spans="1:8" ht="12.75">
      <c r="A1468" s="42"/>
      <c r="B1468" s="5"/>
      <c r="C1468" s="49"/>
      <c r="D1468" s="49"/>
      <c r="E1468" s="49"/>
      <c r="F1468" s="49"/>
      <c r="G1468" s="128"/>
      <c r="H1468" s="175"/>
    </row>
    <row r="1469" spans="1:11" ht="12.75">
      <c r="A1469" s="43" t="s">
        <v>192</v>
      </c>
      <c r="B1469" s="5"/>
      <c r="C1469" s="50">
        <f>SUM(C1456:C1467)</f>
        <v>904585.56</v>
      </c>
      <c r="D1469" s="50">
        <f>SUM(D1456:D1467)</f>
        <v>80214.8</v>
      </c>
      <c r="E1469" s="50">
        <f>SUM(E1456:E1467)</f>
        <v>942915.2</v>
      </c>
      <c r="F1469" s="50">
        <f>SUM(F1456:F1467)</f>
        <v>1023130</v>
      </c>
      <c r="G1469" s="448">
        <f>SUM(G1456:G1467)</f>
        <v>1023130</v>
      </c>
      <c r="H1469" s="175"/>
      <c r="J1469" s="13"/>
      <c r="K1469" s="13"/>
    </row>
    <row r="1470" spans="1:12" ht="12.75">
      <c r="A1470" s="42"/>
      <c r="B1470" s="5"/>
      <c r="C1470" s="50"/>
      <c r="D1470" s="50"/>
      <c r="E1470" s="50"/>
      <c r="F1470" s="50"/>
      <c r="G1470" s="303"/>
      <c r="H1470" s="16"/>
      <c r="L1470" s="14"/>
    </row>
    <row r="1471" spans="1:13" ht="12" customHeight="1">
      <c r="A1471" s="43" t="s">
        <v>44</v>
      </c>
      <c r="B1471" s="5"/>
      <c r="C1471" s="49"/>
      <c r="D1471" s="49"/>
      <c r="E1471" s="49"/>
      <c r="F1471" s="49"/>
      <c r="G1471" s="302"/>
      <c r="H1471" s="59"/>
      <c r="L1471" s="14"/>
      <c r="M1471" s="14"/>
    </row>
    <row r="1472" spans="1:13" ht="12.75">
      <c r="A1472" s="28" t="s">
        <v>26</v>
      </c>
      <c r="B1472" s="39" t="s">
        <v>155</v>
      </c>
      <c r="C1472" s="139">
        <v>68000</v>
      </c>
      <c r="D1472" s="139">
        <v>0</v>
      </c>
      <c r="E1472" s="88">
        <f>F1472-D1472</f>
        <v>0</v>
      </c>
      <c r="F1472" s="139">
        <v>0</v>
      </c>
      <c r="G1472" s="139">
        <v>0</v>
      </c>
      <c r="H1472" s="16"/>
      <c r="M1472" s="14"/>
    </row>
    <row r="1473" spans="1:8" ht="12" customHeight="1">
      <c r="A1473" s="33" t="s">
        <v>31</v>
      </c>
      <c r="B1473" s="63" t="s">
        <v>156</v>
      </c>
      <c r="C1473" s="139">
        <v>0</v>
      </c>
      <c r="D1473" s="139">
        <v>0</v>
      </c>
      <c r="E1473" s="88">
        <f>F1473-D1473</f>
        <v>0</v>
      </c>
      <c r="F1473" s="139">
        <v>0</v>
      </c>
      <c r="G1473" s="139">
        <v>0</v>
      </c>
      <c r="H1473" s="2"/>
    </row>
    <row r="1474" spans="1:8" ht="12" customHeight="1">
      <c r="A1474" s="28" t="s">
        <v>92</v>
      </c>
      <c r="B1474" s="39" t="s">
        <v>157</v>
      </c>
      <c r="C1474" s="139">
        <v>0</v>
      </c>
      <c r="D1474" s="139">
        <v>0</v>
      </c>
      <c r="E1474" s="88">
        <f>F1474-D1474</f>
        <v>65000</v>
      </c>
      <c r="F1474" s="139">
        <v>65000</v>
      </c>
      <c r="G1474" s="139">
        <v>0</v>
      </c>
      <c r="H1474" s="59"/>
    </row>
    <row r="1475" spans="1:12" ht="12.75" customHeight="1">
      <c r="A1475" s="43" t="s">
        <v>77</v>
      </c>
      <c r="B1475" s="7"/>
      <c r="C1475" s="8">
        <f>SUM(C1472:C1474)</f>
        <v>68000</v>
      </c>
      <c r="D1475" s="8">
        <f>SUM(D1472:D1474)</f>
        <v>0</v>
      </c>
      <c r="E1475" s="8">
        <f>SUM(E1472:E1474)</f>
        <v>65000</v>
      </c>
      <c r="F1475" s="8">
        <f>SUM(F1472:F1474)</f>
        <v>65000</v>
      </c>
      <c r="G1475" s="140">
        <f>SUM(G1472:G1474)</f>
        <v>0</v>
      </c>
      <c r="H1475" s="59"/>
      <c r="L1475" s="14"/>
    </row>
    <row r="1476" spans="1:8" ht="12.75" customHeight="1">
      <c r="A1476" s="7"/>
      <c r="B1476" s="7"/>
      <c r="C1476" s="8"/>
      <c r="D1476" s="8"/>
      <c r="E1476" s="8"/>
      <c r="F1476" s="8"/>
      <c r="G1476" s="8"/>
      <c r="H1476" s="59"/>
    </row>
    <row r="1477" spans="1:8" ht="12" customHeight="1">
      <c r="A1477" s="7" t="s">
        <v>34</v>
      </c>
      <c r="B1477" s="5"/>
      <c r="C1477" s="8">
        <f>C1444+C1469+C1475</f>
        <v>2766634.5999999996</v>
      </c>
      <c r="D1477" s="8">
        <f>D1444+D1469+D1475</f>
        <v>879449.89</v>
      </c>
      <c r="E1477" s="8">
        <f>E1444+E1469+E1475</f>
        <v>2162027.440748</v>
      </c>
      <c r="F1477" s="8">
        <f>F1444+F1469+F1475</f>
        <v>3041477.330748</v>
      </c>
      <c r="G1477" s="8">
        <f>G1444+G1469+G1475</f>
        <v>3022556.43</v>
      </c>
      <c r="H1477" s="59"/>
    </row>
    <row r="1478" spans="1:8" ht="12" customHeight="1">
      <c r="A1478" s="4"/>
      <c r="B1478" s="4"/>
      <c r="C1478" s="12"/>
      <c r="D1478" s="12"/>
      <c r="E1478" s="12"/>
      <c r="F1478" s="12"/>
      <c r="G1478" s="217"/>
      <c r="H1478" s="59"/>
    </row>
    <row r="1479" spans="1:8" ht="12" customHeight="1">
      <c r="A1479" s="2"/>
      <c r="B1479" s="2"/>
      <c r="C1479" s="85"/>
      <c r="D1479" s="85"/>
      <c r="E1479" s="85"/>
      <c r="F1479" s="85"/>
      <c r="G1479" s="85"/>
      <c r="H1479" s="59"/>
    </row>
    <row r="1480" spans="1:8" ht="12.75">
      <c r="A1480" s="2" t="s">
        <v>185</v>
      </c>
      <c r="B1480" s="2" t="s">
        <v>186</v>
      </c>
      <c r="C1480" s="2"/>
      <c r="D1480" s="2"/>
      <c r="E1480" s="161" t="s">
        <v>170</v>
      </c>
      <c r="F1480" s="2"/>
      <c r="G1480" s="85"/>
      <c r="H1480" s="59"/>
    </row>
    <row r="1481" spans="1:8" ht="12.75">
      <c r="A1481" s="2"/>
      <c r="B1481" s="2"/>
      <c r="C1481" s="2"/>
      <c r="D1481" s="2"/>
      <c r="E1481" s="161"/>
      <c r="F1481" s="2"/>
      <c r="G1481" s="2"/>
      <c r="H1481" s="2"/>
    </row>
    <row r="1482" spans="1:8" ht="12.75">
      <c r="A1482" s="2"/>
      <c r="B1482" s="2"/>
      <c r="C1482" s="2"/>
      <c r="D1482" s="2"/>
      <c r="E1482" s="161"/>
      <c r="F1482" s="2"/>
      <c r="G1482" s="2"/>
      <c r="H1482" s="2"/>
    </row>
    <row r="1483" spans="1:8" ht="3.75" customHeight="1">
      <c r="A1483" s="2"/>
      <c r="B1483" s="22"/>
      <c r="C1483" s="22"/>
      <c r="D1483" s="22"/>
      <c r="E1483" s="162"/>
      <c r="F1483" s="22"/>
      <c r="G1483" s="2"/>
      <c r="H1483" s="2"/>
    </row>
    <row r="1484" spans="1:8" ht="11.25" customHeight="1">
      <c r="A1484" s="22" t="s">
        <v>76</v>
      </c>
      <c r="B1484" s="22" t="s">
        <v>277</v>
      </c>
      <c r="C1484" s="22"/>
      <c r="D1484" s="22"/>
      <c r="E1484" s="162" t="s">
        <v>161</v>
      </c>
      <c r="F1484" s="22"/>
      <c r="G1484" s="2"/>
      <c r="H1484" s="2"/>
    </row>
    <row r="1485" spans="1:8" ht="12.75">
      <c r="A1485" s="2" t="s">
        <v>274</v>
      </c>
      <c r="B1485" s="2" t="s">
        <v>373</v>
      </c>
      <c r="C1485" s="2"/>
      <c r="D1485" s="2"/>
      <c r="E1485" s="161" t="s">
        <v>25</v>
      </c>
      <c r="F1485" s="2"/>
      <c r="G1485" s="2"/>
      <c r="H1485" s="2"/>
    </row>
    <row r="1486" spans="1:8" ht="12.75">
      <c r="A1486" s="2"/>
      <c r="B1486" s="2"/>
      <c r="C1486" s="2"/>
      <c r="D1486" s="2"/>
      <c r="E1486" s="2"/>
      <c r="F1486" s="2"/>
      <c r="G1486" s="2"/>
      <c r="H1486" s="2"/>
    </row>
    <row r="1487" spans="1:8" ht="15.75" customHeight="1">
      <c r="A1487" s="2"/>
      <c r="B1487" s="2"/>
      <c r="C1487" s="2"/>
      <c r="D1487" s="2"/>
      <c r="E1487" s="2"/>
      <c r="F1487" s="2"/>
      <c r="G1487" s="2"/>
      <c r="H1487" s="2"/>
    </row>
    <row r="1488" spans="1:8" ht="12.75">
      <c r="A1488" s="2"/>
      <c r="B1488" s="2"/>
      <c r="C1488" s="2"/>
      <c r="D1488" s="2"/>
      <c r="E1488" s="2"/>
      <c r="F1488" s="2"/>
      <c r="G1488" s="2"/>
      <c r="H1488" s="2"/>
    </row>
    <row r="1489" spans="1:8" ht="12.75">
      <c r="A1489" s="2"/>
      <c r="B1489" s="2"/>
      <c r="C1489" s="2"/>
      <c r="D1489" s="2"/>
      <c r="E1489" s="2"/>
      <c r="F1489" s="2"/>
      <c r="G1489" s="2"/>
      <c r="H1489" s="2"/>
    </row>
    <row r="1490" spans="1:8" ht="12.75">
      <c r="A1490" s="2"/>
      <c r="B1490" s="2"/>
      <c r="C1490" s="2"/>
      <c r="D1490" s="2"/>
      <c r="E1490" s="2"/>
      <c r="F1490" s="2"/>
      <c r="G1490" s="2"/>
      <c r="H1490" s="2"/>
    </row>
    <row r="1491" spans="1:8" ht="12.75">
      <c r="A1491" s="2"/>
      <c r="B1491" s="2"/>
      <c r="C1491" s="2"/>
      <c r="D1491" s="2"/>
      <c r="E1491" s="2"/>
      <c r="F1491" s="2"/>
      <c r="G1491" s="2"/>
      <c r="H1491" s="2"/>
    </row>
    <row r="1492" spans="1:8" ht="12.75">
      <c r="A1492" s="19" t="s">
        <v>208</v>
      </c>
      <c r="B1492" s="2"/>
      <c r="C1492" s="2"/>
      <c r="D1492" s="2"/>
      <c r="E1492" s="2"/>
      <c r="F1492" s="2"/>
      <c r="G1492" s="2"/>
      <c r="H1492" s="2"/>
    </row>
    <row r="1493" spans="1:8" ht="12.75">
      <c r="A1493" s="19"/>
      <c r="B1493" s="2"/>
      <c r="C1493" s="2"/>
      <c r="D1493" s="2"/>
      <c r="E1493" s="2"/>
      <c r="F1493" s="2"/>
      <c r="G1493" s="2"/>
      <c r="H1493" s="2"/>
    </row>
    <row r="1494" spans="1:8" ht="12.75">
      <c r="A1494" s="2"/>
      <c r="B1494" s="2"/>
      <c r="C1494" s="2"/>
      <c r="D1494" s="2"/>
      <c r="E1494" s="2"/>
      <c r="F1494" s="2"/>
      <c r="G1494" s="2"/>
      <c r="H1494" s="2"/>
    </row>
    <row r="1495" spans="1:8" ht="15">
      <c r="A1495" s="474" t="s">
        <v>165</v>
      </c>
      <c r="B1495" s="474"/>
      <c r="C1495" s="474"/>
      <c r="D1495" s="474"/>
      <c r="E1495" s="474"/>
      <c r="F1495" s="474"/>
      <c r="G1495" s="474"/>
      <c r="H1495" s="2"/>
    </row>
    <row r="1496" spans="1:8" ht="15">
      <c r="A1496" s="474" t="s">
        <v>172</v>
      </c>
      <c r="B1496" s="474"/>
      <c r="C1496" s="474"/>
      <c r="D1496" s="474"/>
      <c r="E1496" s="474"/>
      <c r="F1496" s="474"/>
      <c r="G1496" s="474"/>
      <c r="H1496" s="59"/>
    </row>
    <row r="1497" spans="1:8" ht="12.75">
      <c r="A1497" s="54"/>
      <c r="B1497" s="54"/>
      <c r="C1497" s="54"/>
      <c r="D1497" s="54"/>
      <c r="E1497" s="54"/>
      <c r="F1497" s="54"/>
      <c r="G1497" s="54"/>
      <c r="H1497" s="59"/>
    </row>
    <row r="1498" spans="1:8" ht="12.75">
      <c r="A1498" s="54"/>
      <c r="B1498" s="54"/>
      <c r="C1498" s="54"/>
      <c r="D1498" s="54"/>
      <c r="E1498" s="54"/>
      <c r="F1498" s="54"/>
      <c r="G1498" s="54"/>
      <c r="H1498" s="59"/>
    </row>
    <row r="1499" spans="1:8" ht="12.75">
      <c r="A1499" s="21" t="s">
        <v>52</v>
      </c>
      <c r="B1499" s="21" t="s">
        <v>205</v>
      </c>
      <c r="C1499" s="21"/>
      <c r="D1499" s="21"/>
      <c r="E1499" s="21"/>
      <c r="F1499" s="2"/>
      <c r="G1499" s="2"/>
      <c r="H1499" s="59"/>
    </row>
    <row r="1500" spans="1:8" ht="12.75">
      <c r="A1500" s="21"/>
      <c r="B1500" s="21"/>
      <c r="C1500" s="21"/>
      <c r="D1500" s="21"/>
      <c r="E1500" s="21"/>
      <c r="F1500" s="2"/>
      <c r="G1500" s="2"/>
      <c r="H1500" s="59"/>
    </row>
    <row r="1501" spans="1:8" ht="12.75">
      <c r="A1501" s="2"/>
      <c r="B1501" s="2"/>
      <c r="C1501" s="2"/>
      <c r="D1501" s="2"/>
      <c r="E1501" s="2"/>
      <c r="F1501" s="2"/>
      <c r="G1501" s="2"/>
      <c r="H1501" s="59"/>
    </row>
    <row r="1502" spans="1:8" ht="12.75" customHeight="1">
      <c r="A1502" s="23"/>
      <c r="B1502" s="23"/>
      <c r="C1502" s="475" t="s">
        <v>79</v>
      </c>
      <c r="D1502" s="479" t="s">
        <v>166</v>
      </c>
      <c r="E1502" s="480"/>
      <c r="F1502" s="481"/>
      <c r="G1502" s="482" t="s">
        <v>73</v>
      </c>
      <c r="H1502" s="59"/>
    </row>
    <row r="1503" spans="1:8" ht="12.75">
      <c r="A1503" s="24" t="s">
        <v>167</v>
      </c>
      <c r="B1503" s="304" t="s">
        <v>241</v>
      </c>
      <c r="C1503" s="476"/>
      <c r="D1503" s="24" t="s">
        <v>168</v>
      </c>
      <c r="E1503" s="24" t="s">
        <v>169</v>
      </c>
      <c r="F1503" s="477" t="s">
        <v>23</v>
      </c>
      <c r="G1503" s="483"/>
      <c r="H1503" s="59"/>
    </row>
    <row r="1504" spans="1:8" ht="12.75" customHeight="1">
      <c r="A1504" s="24"/>
      <c r="B1504" s="24"/>
      <c r="C1504" s="24" t="s">
        <v>53</v>
      </c>
      <c r="D1504" s="24" t="s">
        <v>53</v>
      </c>
      <c r="E1504" s="156" t="s">
        <v>86</v>
      </c>
      <c r="F1504" s="478"/>
      <c r="G1504" s="3" t="s">
        <v>54</v>
      </c>
      <c r="H1504" s="59"/>
    </row>
    <row r="1505" spans="1:8" ht="12.75" customHeight="1">
      <c r="A1505" s="46">
        <v>1</v>
      </c>
      <c r="B1505" s="46">
        <v>2</v>
      </c>
      <c r="C1505" s="46">
        <v>3</v>
      </c>
      <c r="D1505" s="90">
        <v>4</v>
      </c>
      <c r="E1505" s="90">
        <v>5</v>
      </c>
      <c r="F1505" s="90">
        <v>6</v>
      </c>
      <c r="G1505" s="91">
        <v>7</v>
      </c>
      <c r="H1505" s="59"/>
    </row>
    <row r="1506" spans="1:8" ht="12.75">
      <c r="A1506" s="5"/>
      <c r="B1506" s="5"/>
      <c r="C1506" s="5"/>
      <c r="D1506" s="116"/>
      <c r="E1506" s="116"/>
      <c r="F1506" s="116"/>
      <c r="G1506" s="5"/>
      <c r="H1506" s="59"/>
    </row>
    <row r="1507" spans="1:8" ht="15">
      <c r="A1507" s="18" t="s">
        <v>43</v>
      </c>
      <c r="B1507" s="72"/>
      <c r="C1507" s="5"/>
      <c r="D1507" s="116"/>
      <c r="E1507" s="116"/>
      <c r="F1507" s="116"/>
      <c r="G1507" s="92"/>
      <c r="H1507" s="59"/>
    </row>
    <row r="1508" spans="1:8" ht="12.75">
      <c r="A1508" s="27" t="s">
        <v>228</v>
      </c>
      <c r="B1508" s="157" t="s">
        <v>113</v>
      </c>
      <c r="C1508" s="122">
        <v>6111623</v>
      </c>
      <c r="D1508" s="191">
        <v>3189725</v>
      </c>
      <c r="E1508" s="88">
        <f aca="true" t="shared" si="38" ref="E1508:E1525">F1508-D1508</f>
        <v>3730003</v>
      </c>
      <c r="F1508" s="121">
        <v>6919728</v>
      </c>
      <c r="G1508" s="121">
        <v>8077416</v>
      </c>
      <c r="H1508" s="59"/>
    </row>
    <row r="1509" spans="1:8" ht="12.75">
      <c r="A1509" s="29" t="s">
        <v>224</v>
      </c>
      <c r="B1509" s="157" t="s">
        <v>114</v>
      </c>
      <c r="C1509" s="88">
        <v>408000</v>
      </c>
      <c r="D1509" s="191">
        <v>208000</v>
      </c>
      <c r="E1509" s="88">
        <f t="shared" si="38"/>
        <v>248000</v>
      </c>
      <c r="F1509" s="121">
        <v>456000</v>
      </c>
      <c r="G1509" s="121">
        <v>504000</v>
      </c>
      <c r="H1509" s="59"/>
    </row>
    <row r="1510" spans="1:8" ht="12.75">
      <c r="A1510" s="41" t="s">
        <v>42</v>
      </c>
      <c r="B1510" s="157" t="s">
        <v>115</v>
      </c>
      <c r="C1510" s="88">
        <v>76500</v>
      </c>
      <c r="D1510" s="191">
        <v>38250</v>
      </c>
      <c r="E1510" s="88">
        <f t="shared" si="38"/>
        <v>38250</v>
      </c>
      <c r="F1510" s="121">
        <v>76500</v>
      </c>
      <c r="G1510" s="121">
        <v>76500</v>
      </c>
      <c r="H1510" s="59"/>
    </row>
    <row r="1511" spans="1:9" ht="12.75">
      <c r="A1511" s="29" t="s">
        <v>3</v>
      </c>
      <c r="B1511" s="62" t="s">
        <v>159</v>
      </c>
      <c r="C1511" s="88">
        <v>76500</v>
      </c>
      <c r="D1511" s="191">
        <v>38250</v>
      </c>
      <c r="E1511" s="88">
        <f t="shared" si="38"/>
        <v>38250</v>
      </c>
      <c r="F1511" s="121">
        <v>76500</v>
      </c>
      <c r="G1511" s="121">
        <v>76500</v>
      </c>
      <c r="H1511" s="16"/>
      <c r="I1511" s="14"/>
    </row>
    <row r="1512" spans="1:8" ht="12.75">
      <c r="A1512" s="29" t="s">
        <v>18</v>
      </c>
      <c r="B1512" s="157" t="s">
        <v>116</v>
      </c>
      <c r="C1512" s="88">
        <v>102000</v>
      </c>
      <c r="D1512" s="191">
        <v>96000</v>
      </c>
      <c r="E1512" s="88">
        <f t="shared" si="38"/>
        <v>18000</v>
      </c>
      <c r="F1512" s="121">
        <v>114000</v>
      </c>
      <c r="G1512" s="121">
        <v>126000</v>
      </c>
      <c r="H1512" s="59"/>
    </row>
    <row r="1513" spans="1:8" ht="12.75">
      <c r="A1513" s="41" t="s">
        <v>175</v>
      </c>
      <c r="B1513" s="157" t="s">
        <v>176</v>
      </c>
      <c r="C1513" s="64">
        <v>85000</v>
      </c>
      <c r="D1513" s="152">
        <v>0</v>
      </c>
      <c r="E1513" s="88">
        <f t="shared" si="38"/>
        <v>95000</v>
      </c>
      <c r="F1513" s="77">
        <v>95000</v>
      </c>
      <c r="G1513" s="77">
        <v>105000</v>
      </c>
      <c r="H1513" s="59"/>
    </row>
    <row r="1514" spans="1:8" ht="12.75">
      <c r="A1514" s="29" t="s">
        <v>230</v>
      </c>
      <c r="B1514" s="62" t="s">
        <v>216</v>
      </c>
      <c r="C1514" s="88">
        <v>301704.9</v>
      </c>
      <c r="D1514" s="88">
        <v>69272.92</v>
      </c>
      <c r="E1514" s="88">
        <f t="shared" si="38"/>
        <v>272727.08</v>
      </c>
      <c r="F1514" s="121">
        <v>342000</v>
      </c>
      <c r="G1514" s="121">
        <v>378000</v>
      </c>
      <c r="H1514" s="59"/>
    </row>
    <row r="1515" spans="1:8" ht="12.75">
      <c r="A1515" s="29" t="s">
        <v>229</v>
      </c>
      <c r="B1515" s="62" t="s">
        <v>231</v>
      </c>
      <c r="C1515" s="88">
        <v>30600</v>
      </c>
      <c r="D1515" s="88">
        <v>7650</v>
      </c>
      <c r="E1515" s="88">
        <f t="shared" si="38"/>
        <v>26550</v>
      </c>
      <c r="F1515" s="121">
        <v>34200</v>
      </c>
      <c r="G1515" s="121">
        <v>37800</v>
      </c>
      <c r="H1515" s="59"/>
    </row>
    <row r="1516" spans="1:8" ht="12.75">
      <c r="A1516" s="29" t="s">
        <v>27</v>
      </c>
      <c r="B1516" s="157" t="s">
        <v>117</v>
      </c>
      <c r="C1516" s="88">
        <v>85000</v>
      </c>
      <c r="D1516" s="88">
        <v>0</v>
      </c>
      <c r="E1516" s="88">
        <f t="shared" si="38"/>
        <v>95000</v>
      </c>
      <c r="F1516" s="121">
        <v>95000</v>
      </c>
      <c r="G1516" s="121">
        <v>105000</v>
      </c>
      <c r="H1516" s="59"/>
    </row>
    <row r="1517" spans="1:8" ht="12.75">
      <c r="A1517" s="29" t="s">
        <v>96</v>
      </c>
      <c r="B1517" s="157" t="s">
        <v>118</v>
      </c>
      <c r="C1517" s="88">
        <v>509397</v>
      </c>
      <c r="D1517" s="191">
        <v>0</v>
      </c>
      <c r="E1517" s="88">
        <f t="shared" si="38"/>
        <v>576644</v>
      </c>
      <c r="F1517" s="121">
        <f>F1508/12</f>
        <v>576644</v>
      </c>
      <c r="G1517" s="121">
        <f>G1508/12</f>
        <v>673118</v>
      </c>
      <c r="H1517" s="59"/>
    </row>
    <row r="1518" spans="1:8" ht="12.75">
      <c r="A1518" s="41" t="s">
        <v>173</v>
      </c>
      <c r="B1518" s="157" t="s">
        <v>174</v>
      </c>
      <c r="C1518" s="88">
        <v>509234</v>
      </c>
      <c r="D1518" s="64">
        <v>542561</v>
      </c>
      <c r="E1518" s="88">
        <f t="shared" si="38"/>
        <v>34083</v>
      </c>
      <c r="F1518" s="121">
        <f>F1517</f>
        <v>576644</v>
      </c>
      <c r="G1518" s="121">
        <f>G1517</f>
        <v>673118</v>
      </c>
      <c r="H1518" s="59"/>
    </row>
    <row r="1519" spans="1:8" ht="12" customHeight="1">
      <c r="A1519" s="29" t="s">
        <v>61</v>
      </c>
      <c r="B1519" s="62" t="s">
        <v>125</v>
      </c>
      <c r="C1519" s="88">
        <v>12000</v>
      </c>
      <c r="D1519" s="88">
        <v>3000</v>
      </c>
      <c r="E1519" s="88">
        <f t="shared" si="38"/>
        <v>9000</v>
      </c>
      <c r="F1519" s="121">
        <v>12000</v>
      </c>
      <c r="G1519" s="121">
        <v>12000</v>
      </c>
      <c r="H1519" s="59"/>
    </row>
    <row r="1520" spans="1:8" ht="12.75">
      <c r="A1520" s="41" t="s">
        <v>235</v>
      </c>
      <c r="B1520" s="157" t="s">
        <v>119</v>
      </c>
      <c r="C1520" s="88">
        <v>733394.76</v>
      </c>
      <c r="D1520" s="191">
        <v>382907.04</v>
      </c>
      <c r="E1520" s="88">
        <f t="shared" si="38"/>
        <v>447460.32</v>
      </c>
      <c r="F1520" s="121">
        <f>F1508*12%</f>
        <v>830367.36</v>
      </c>
      <c r="G1520" s="121">
        <v>969289.92</v>
      </c>
      <c r="H1520" s="59"/>
    </row>
    <row r="1521" spans="1:8" ht="12.75">
      <c r="A1521" s="29" t="s">
        <v>28</v>
      </c>
      <c r="B1521" s="157" t="s">
        <v>120</v>
      </c>
      <c r="C1521" s="88">
        <v>20400</v>
      </c>
      <c r="D1521" s="191">
        <v>10600</v>
      </c>
      <c r="E1521" s="88">
        <f t="shared" si="38"/>
        <v>12200</v>
      </c>
      <c r="F1521" s="121">
        <v>22800</v>
      </c>
      <c r="G1521" s="121">
        <v>25200</v>
      </c>
      <c r="H1521" s="59"/>
    </row>
    <row r="1522" spans="1:8" ht="12.75">
      <c r="A1522" s="29" t="s">
        <v>69</v>
      </c>
      <c r="B1522" s="157" t="s">
        <v>121</v>
      </c>
      <c r="C1522" s="88">
        <v>84987.01</v>
      </c>
      <c r="D1522" s="191">
        <v>47269.55</v>
      </c>
      <c r="E1522" s="88">
        <f t="shared" si="38"/>
        <v>86560.21</v>
      </c>
      <c r="F1522" s="121">
        <v>133829.76</v>
      </c>
      <c r="G1522" s="121">
        <v>178802.1</v>
      </c>
      <c r="H1522" s="59"/>
    </row>
    <row r="1523" spans="1:8" ht="12.75">
      <c r="A1523" s="29" t="s">
        <v>122</v>
      </c>
      <c r="B1523" s="157" t="s">
        <v>123</v>
      </c>
      <c r="C1523" s="88">
        <v>20400</v>
      </c>
      <c r="D1523" s="191">
        <v>10600</v>
      </c>
      <c r="E1523" s="88">
        <f t="shared" si="38"/>
        <v>12200</v>
      </c>
      <c r="F1523" s="121">
        <v>22800</v>
      </c>
      <c r="G1523" s="121">
        <v>25200</v>
      </c>
      <c r="H1523" s="59"/>
    </row>
    <row r="1524" spans="1:8" ht="12.75">
      <c r="A1524" s="29" t="s">
        <v>351</v>
      </c>
      <c r="B1524" s="157" t="s">
        <v>352</v>
      </c>
      <c r="C1524" s="88">
        <v>0</v>
      </c>
      <c r="D1524" s="88">
        <v>546289.57</v>
      </c>
      <c r="E1524" s="88">
        <f t="shared" si="38"/>
        <v>1029171.2300000001</v>
      </c>
      <c r="F1524" s="121">
        <v>1575460.8</v>
      </c>
      <c r="G1524" s="121">
        <v>1494417.6</v>
      </c>
      <c r="H1524" s="133"/>
    </row>
    <row r="1525" spans="1:8" ht="12.75">
      <c r="A1525" s="29" t="s">
        <v>99</v>
      </c>
      <c r="B1525" s="157" t="s">
        <v>125</v>
      </c>
      <c r="C1525" s="88">
        <v>178207.94</v>
      </c>
      <c r="D1525" s="191">
        <v>129891.86</v>
      </c>
      <c r="E1525" s="88">
        <f t="shared" si="38"/>
        <v>148008.45</v>
      </c>
      <c r="F1525" s="88">
        <v>277900.31</v>
      </c>
      <c r="G1525" s="60">
        <v>324393.74</v>
      </c>
      <c r="H1525" s="133"/>
    </row>
    <row r="1526" spans="1:9" ht="12.75">
      <c r="A1526" s="27"/>
      <c r="B1526" s="27"/>
      <c r="C1526" s="27"/>
      <c r="D1526" s="27"/>
      <c r="E1526" s="27"/>
      <c r="F1526" s="27"/>
      <c r="G1526" s="418"/>
      <c r="H1526" s="133"/>
      <c r="I1526" s="14"/>
    </row>
    <row r="1527" spans="1:9" ht="12.75">
      <c r="A1527" s="18" t="s">
        <v>193</v>
      </c>
      <c r="B1527" s="40"/>
      <c r="C1527" s="31">
        <f>SUM(C1507:C1525)</f>
        <v>9344948.61</v>
      </c>
      <c r="D1527" s="31">
        <f>SUM(D1507:D1525)</f>
        <v>5320266.94</v>
      </c>
      <c r="E1527" s="31">
        <f>SUM(E1507:E1525)</f>
        <v>6917107.290000001</v>
      </c>
      <c r="F1527" s="31">
        <f>SUM(F1507:F1525)</f>
        <v>12237374.23</v>
      </c>
      <c r="G1527" s="419">
        <f>SUM(G1508:G1525)</f>
        <v>13861755.36</v>
      </c>
      <c r="H1527" s="133"/>
      <c r="I1527" s="14">
        <f>G1527</f>
        <v>13861755.36</v>
      </c>
    </row>
    <row r="1528" spans="1:9" ht="10.5" customHeight="1">
      <c r="A1528" s="454"/>
      <c r="B1528" s="455"/>
      <c r="C1528" s="456"/>
      <c r="D1528" s="456"/>
      <c r="E1528" s="456"/>
      <c r="F1528" s="456"/>
      <c r="G1528" s="456"/>
      <c r="H1528" s="133"/>
      <c r="I1528" s="14"/>
    </row>
    <row r="1529" spans="1:8" ht="12.75">
      <c r="A1529" s="24"/>
      <c r="B1529" s="24"/>
      <c r="C1529" s="476" t="s">
        <v>79</v>
      </c>
      <c r="D1529" s="489" t="s">
        <v>166</v>
      </c>
      <c r="E1529" s="490"/>
      <c r="F1529" s="491"/>
      <c r="G1529" s="483" t="s">
        <v>73</v>
      </c>
      <c r="H1529" s="133"/>
    </row>
    <row r="1530" spans="1:8" ht="12.75" customHeight="1">
      <c r="A1530" s="24" t="s">
        <v>167</v>
      </c>
      <c r="B1530" s="304" t="s">
        <v>241</v>
      </c>
      <c r="C1530" s="476"/>
      <c r="D1530" s="24" t="s">
        <v>168</v>
      </c>
      <c r="E1530" s="24" t="s">
        <v>169</v>
      </c>
      <c r="F1530" s="477" t="s">
        <v>23</v>
      </c>
      <c r="G1530" s="483"/>
      <c r="H1530" s="133"/>
    </row>
    <row r="1531" spans="1:8" ht="12.75">
      <c r="A1531" s="24"/>
      <c r="B1531" s="24"/>
      <c r="C1531" s="24" t="s">
        <v>53</v>
      </c>
      <c r="D1531" s="24" t="s">
        <v>53</v>
      </c>
      <c r="E1531" s="156" t="s">
        <v>86</v>
      </c>
      <c r="F1531" s="478"/>
      <c r="G1531" s="3" t="s">
        <v>54</v>
      </c>
      <c r="H1531" s="133"/>
    </row>
    <row r="1532" spans="1:8" ht="12.75">
      <c r="A1532" s="46">
        <v>1</v>
      </c>
      <c r="B1532" s="46">
        <v>2</v>
      </c>
      <c r="C1532" s="46">
        <v>3</v>
      </c>
      <c r="D1532" s="90">
        <v>4</v>
      </c>
      <c r="E1532" s="90">
        <v>5</v>
      </c>
      <c r="F1532" s="90">
        <v>6</v>
      </c>
      <c r="G1532" s="91">
        <v>7</v>
      </c>
      <c r="H1532" s="133"/>
    </row>
    <row r="1533" spans="1:8" ht="14.25">
      <c r="A1533" s="43" t="s">
        <v>178</v>
      </c>
      <c r="B1533" s="160"/>
      <c r="C1533" s="5"/>
      <c r="D1533" s="5"/>
      <c r="E1533" s="5"/>
      <c r="F1533" s="5"/>
      <c r="G1533" s="286"/>
      <c r="H1533" s="133"/>
    </row>
    <row r="1534" spans="1:8" ht="12.75">
      <c r="A1534" s="29" t="s">
        <v>191</v>
      </c>
      <c r="B1534" s="62" t="s">
        <v>126</v>
      </c>
      <c r="C1534" s="366">
        <v>198150</v>
      </c>
      <c r="D1534" s="191">
        <v>15410</v>
      </c>
      <c r="E1534" s="88">
        <f aca="true" t="shared" si="39" ref="E1534:E1553">F1534-D1534</f>
        <v>184590</v>
      </c>
      <c r="F1534" s="366">
        <v>200000</v>
      </c>
      <c r="G1534" s="366">
        <v>200000</v>
      </c>
      <c r="H1534" s="133"/>
    </row>
    <row r="1535" spans="1:8" ht="12.75">
      <c r="A1535" s="29" t="s">
        <v>210</v>
      </c>
      <c r="B1535" s="62" t="s">
        <v>127</v>
      </c>
      <c r="C1535" s="366">
        <v>149752.02</v>
      </c>
      <c r="D1535" s="191">
        <v>87930</v>
      </c>
      <c r="E1535" s="88">
        <f t="shared" si="39"/>
        <v>62070</v>
      </c>
      <c r="F1535" s="366">
        <v>150000</v>
      </c>
      <c r="G1535" s="366">
        <v>100000</v>
      </c>
      <c r="H1535" s="175"/>
    </row>
    <row r="1536" spans="1:9" ht="12.75">
      <c r="A1536" s="29" t="s">
        <v>78</v>
      </c>
      <c r="B1536" s="62" t="s">
        <v>128</v>
      </c>
      <c r="C1536" s="366">
        <v>150000</v>
      </c>
      <c r="D1536" s="191">
        <v>32708.72</v>
      </c>
      <c r="E1536" s="88">
        <f t="shared" si="39"/>
        <v>263291.28</v>
      </c>
      <c r="F1536" s="366">
        <v>296000</v>
      </c>
      <c r="G1536" s="366">
        <v>250000</v>
      </c>
      <c r="H1536" s="175"/>
      <c r="I1536" s="45"/>
    </row>
    <row r="1537" spans="1:9" ht="12.75">
      <c r="A1537" s="29" t="s">
        <v>91</v>
      </c>
      <c r="B1537" s="62" t="s">
        <v>129</v>
      </c>
      <c r="C1537" s="366">
        <v>2000000</v>
      </c>
      <c r="D1537" s="191">
        <v>4917.75</v>
      </c>
      <c r="E1537" s="88">
        <f>F1537-D1537</f>
        <v>2795082.25</v>
      </c>
      <c r="F1537" s="366">
        <v>2800000</v>
      </c>
      <c r="G1537" s="366">
        <v>2840000</v>
      </c>
      <c r="H1537" s="175"/>
      <c r="I1537" s="45"/>
    </row>
    <row r="1538" spans="1:9" ht="12.75">
      <c r="A1538" s="29" t="s">
        <v>17</v>
      </c>
      <c r="B1538" s="62" t="s">
        <v>218</v>
      </c>
      <c r="C1538" s="366">
        <v>1368515.25</v>
      </c>
      <c r="D1538" s="191">
        <v>4591</v>
      </c>
      <c r="E1538" s="88">
        <f t="shared" si="39"/>
        <v>3473409</v>
      </c>
      <c r="F1538" s="366">
        <v>3478000</v>
      </c>
      <c r="G1538" s="366">
        <v>2460000</v>
      </c>
      <c r="H1538" s="175"/>
      <c r="I1538" s="45"/>
    </row>
    <row r="1539" spans="1:9" ht="12.75">
      <c r="A1539" s="131" t="s">
        <v>295</v>
      </c>
      <c r="B1539" s="62" t="s">
        <v>130</v>
      </c>
      <c r="C1539" s="366">
        <v>2198</v>
      </c>
      <c r="D1539" s="191">
        <v>0</v>
      </c>
      <c r="E1539" s="88">
        <f t="shared" si="39"/>
        <v>10000</v>
      </c>
      <c r="F1539" s="366">
        <v>10000</v>
      </c>
      <c r="G1539" s="366">
        <v>10000</v>
      </c>
      <c r="H1539" s="175"/>
      <c r="I1539" s="45"/>
    </row>
    <row r="1540" spans="1:9" ht="12.75">
      <c r="A1540" s="131" t="s">
        <v>293</v>
      </c>
      <c r="B1540" s="62" t="s">
        <v>219</v>
      </c>
      <c r="C1540" s="366">
        <v>298569</v>
      </c>
      <c r="D1540" s="191">
        <v>93897</v>
      </c>
      <c r="E1540" s="88">
        <f t="shared" si="39"/>
        <v>396103</v>
      </c>
      <c r="F1540" s="366">
        <v>490000</v>
      </c>
      <c r="G1540" s="366">
        <f>124000+6782.69</f>
        <v>130782.69</v>
      </c>
      <c r="H1540" s="169"/>
      <c r="I1540" s="45"/>
    </row>
    <row r="1541" spans="1:9" ht="12.75">
      <c r="A1541" s="131" t="s">
        <v>63</v>
      </c>
      <c r="B1541" s="62" t="s">
        <v>131</v>
      </c>
      <c r="C1541" s="366">
        <v>6400</v>
      </c>
      <c r="D1541" s="191">
        <v>0</v>
      </c>
      <c r="E1541" s="88">
        <f t="shared" si="39"/>
        <v>68000</v>
      </c>
      <c r="F1541" s="366">
        <v>68000</v>
      </c>
      <c r="G1541" s="366">
        <v>24000</v>
      </c>
      <c r="H1541" s="169"/>
      <c r="I1541" s="45"/>
    </row>
    <row r="1542" spans="1:9" ht="12.75">
      <c r="A1542" s="131" t="s">
        <v>227</v>
      </c>
      <c r="B1542" s="62" t="s">
        <v>135</v>
      </c>
      <c r="C1542" s="366">
        <v>84000</v>
      </c>
      <c r="D1542" s="113">
        <v>42000</v>
      </c>
      <c r="E1542" s="88">
        <f t="shared" si="39"/>
        <v>42000</v>
      </c>
      <c r="F1542" s="366">
        <v>84000</v>
      </c>
      <c r="G1542" s="366">
        <v>84000</v>
      </c>
      <c r="H1542" s="169"/>
      <c r="I1542" s="45"/>
    </row>
    <row r="1543" spans="1:9" ht="12.75">
      <c r="A1543" s="129" t="s">
        <v>45</v>
      </c>
      <c r="B1543" s="62" t="s">
        <v>136</v>
      </c>
      <c r="C1543" s="366">
        <v>24000</v>
      </c>
      <c r="D1543" s="133">
        <v>12000</v>
      </c>
      <c r="E1543" s="88">
        <f t="shared" si="39"/>
        <v>12000</v>
      </c>
      <c r="F1543" s="366">
        <v>24000</v>
      </c>
      <c r="G1543" s="366">
        <v>24000</v>
      </c>
      <c r="H1543" s="169"/>
      <c r="I1543" s="45"/>
    </row>
    <row r="1544" spans="1:9" ht="12.75">
      <c r="A1544" s="449" t="s">
        <v>326</v>
      </c>
      <c r="B1544" s="39"/>
      <c r="C1544" s="366"/>
      <c r="D1544" s="133"/>
      <c r="E1544" s="88"/>
      <c r="F1544" s="366">
        <v>0</v>
      </c>
      <c r="G1544" s="366">
        <v>45000</v>
      </c>
      <c r="H1544" s="169"/>
      <c r="I1544" s="45"/>
    </row>
    <row r="1545" spans="1:11" ht="12.75">
      <c r="A1545" s="131" t="s">
        <v>302</v>
      </c>
      <c r="B1545" s="39" t="s">
        <v>249</v>
      </c>
      <c r="C1545" s="121">
        <v>300000</v>
      </c>
      <c r="D1545" s="88">
        <v>0</v>
      </c>
      <c r="E1545" s="88">
        <f t="shared" si="39"/>
        <v>500000</v>
      </c>
      <c r="F1545" s="121">
        <v>500000</v>
      </c>
      <c r="G1545" s="121">
        <v>165000</v>
      </c>
      <c r="H1545" s="175"/>
      <c r="J1545" s="14"/>
      <c r="K1545" s="14"/>
    </row>
    <row r="1546" spans="1:11" ht="12.75" customHeight="1">
      <c r="A1546" s="131" t="s">
        <v>253</v>
      </c>
      <c r="B1546" s="62" t="s">
        <v>254</v>
      </c>
      <c r="C1546" s="363">
        <v>1633610</v>
      </c>
      <c r="D1546" s="152">
        <v>630995</v>
      </c>
      <c r="E1546" s="152">
        <f>F1546-D1546</f>
        <v>1709005</v>
      </c>
      <c r="F1546" s="363">
        <v>2340000</v>
      </c>
      <c r="G1546" s="363">
        <v>2616000</v>
      </c>
      <c r="H1546" s="175"/>
      <c r="J1546" s="14"/>
      <c r="K1546" s="14"/>
    </row>
    <row r="1547" spans="1:11" ht="12.75">
      <c r="A1547" s="344" t="s">
        <v>214</v>
      </c>
      <c r="B1547" s="62" t="s">
        <v>145</v>
      </c>
      <c r="C1547" s="366">
        <v>150000</v>
      </c>
      <c r="D1547" s="191">
        <v>0</v>
      </c>
      <c r="E1547" s="88">
        <f t="shared" si="39"/>
        <v>0</v>
      </c>
      <c r="F1547" s="366">
        <v>0</v>
      </c>
      <c r="G1547" s="366">
        <v>0</v>
      </c>
      <c r="H1547" s="175"/>
      <c r="J1547" s="14"/>
      <c r="K1547" s="14"/>
    </row>
    <row r="1548" spans="1:11" ht="12.75">
      <c r="A1548" s="131" t="s">
        <v>146</v>
      </c>
      <c r="B1548" s="62" t="s">
        <v>147</v>
      </c>
      <c r="C1548" s="366">
        <v>40000</v>
      </c>
      <c r="D1548" s="191">
        <v>0</v>
      </c>
      <c r="E1548" s="88">
        <f t="shared" si="39"/>
        <v>25000</v>
      </c>
      <c r="F1548" s="366">
        <v>25000</v>
      </c>
      <c r="G1548" s="366">
        <v>0</v>
      </c>
      <c r="H1548" s="175"/>
      <c r="J1548" s="14"/>
      <c r="K1548" s="14"/>
    </row>
    <row r="1549" spans="1:11" ht="12.75">
      <c r="A1549" s="131" t="s">
        <v>294</v>
      </c>
      <c r="B1549" s="62" t="s">
        <v>149</v>
      </c>
      <c r="C1549" s="366">
        <v>40000</v>
      </c>
      <c r="D1549" s="191">
        <v>820</v>
      </c>
      <c r="E1549" s="88">
        <f t="shared" si="39"/>
        <v>29180</v>
      </c>
      <c r="F1549" s="366">
        <v>30000</v>
      </c>
      <c r="G1549" s="366">
        <v>30000</v>
      </c>
      <c r="H1549" s="175"/>
      <c r="J1549" s="14"/>
      <c r="K1549" s="14"/>
    </row>
    <row r="1550" spans="1:11" ht="12.75">
      <c r="A1550" s="365" t="s">
        <v>342</v>
      </c>
      <c r="B1550" s="361" t="s">
        <v>138</v>
      </c>
      <c r="C1550" s="366">
        <v>0</v>
      </c>
      <c r="D1550" s="191">
        <v>0</v>
      </c>
      <c r="E1550" s="88">
        <f t="shared" si="39"/>
        <v>0</v>
      </c>
      <c r="F1550" s="366">
        <v>0</v>
      </c>
      <c r="G1550" s="366">
        <v>35000</v>
      </c>
      <c r="H1550" s="175"/>
      <c r="J1550" s="14"/>
      <c r="K1550" s="14"/>
    </row>
    <row r="1551" spans="1:11" ht="12.75">
      <c r="A1551" s="365" t="s">
        <v>297</v>
      </c>
      <c r="B1551" s="361" t="s">
        <v>213</v>
      </c>
      <c r="C1551" s="366">
        <v>55098</v>
      </c>
      <c r="D1551" s="191">
        <v>45150</v>
      </c>
      <c r="E1551" s="88">
        <f t="shared" si="39"/>
        <v>4850</v>
      </c>
      <c r="F1551" s="366">
        <v>50000</v>
      </c>
      <c r="G1551" s="366">
        <v>45000</v>
      </c>
      <c r="H1551" s="175"/>
      <c r="J1551" s="14"/>
      <c r="K1551" s="14"/>
    </row>
    <row r="1552" spans="1:8" ht="12.75">
      <c r="A1552" s="29" t="s">
        <v>270</v>
      </c>
      <c r="B1552" s="62" t="s">
        <v>271</v>
      </c>
      <c r="C1552" s="121">
        <v>400000</v>
      </c>
      <c r="D1552" s="191">
        <v>196600</v>
      </c>
      <c r="E1552" s="88">
        <f t="shared" si="39"/>
        <v>1256400</v>
      </c>
      <c r="F1552" s="121">
        <v>1453000</v>
      </c>
      <c r="G1552" s="121">
        <v>900000</v>
      </c>
      <c r="H1552" s="175"/>
    </row>
    <row r="1553" spans="1:13" ht="12.75">
      <c r="A1553" s="29" t="s">
        <v>58</v>
      </c>
      <c r="B1553" s="63" t="s">
        <v>153</v>
      </c>
      <c r="C1553" s="366"/>
      <c r="D1553" s="191">
        <v>42000</v>
      </c>
      <c r="E1553" s="88">
        <f t="shared" si="39"/>
        <v>108000</v>
      </c>
      <c r="F1553" s="366">
        <v>150000</v>
      </c>
      <c r="G1553" s="366">
        <v>0</v>
      </c>
      <c r="H1553" s="176"/>
      <c r="L1553" s="14"/>
      <c r="M1553" s="14"/>
    </row>
    <row r="1554" spans="1:13" ht="3" customHeight="1">
      <c r="A1554" s="135"/>
      <c r="B1554" s="63"/>
      <c r="C1554" s="122"/>
      <c r="D1554" s="88"/>
      <c r="E1554" s="88"/>
      <c r="F1554" s="122"/>
      <c r="G1554" s="121"/>
      <c r="H1554" s="2"/>
      <c r="M1554" s="14"/>
    </row>
    <row r="1555" spans="1:11" ht="12.75">
      <c r="A1555" s="310" t="s">
        <v>192</v>
      </c>
      <c r="B1555" s="272"/>
      <c r="C1555" s="31">
        <f>SUM(C1534:C1554)</f>
        <v>6900292.27</v>
      </c>
      <c r="D1555" s="31">
        <f>SUM(D1534:D1554)</f>
        <v>1209019.47</v>
      </c>
      <c r="E1555" s="31">
        <f>SUM(E1534:E1554)</f>
        <v>10938980.530000001</v>
      </c>
      <c r="F1555" s="31">
        <f>SUM(F1534:F1554)</f>
        <v>12148000</v>
      </c>
      <c r="G1555" s="299">
        <f>SUM(G1534:G1554)</f>
        <v>9958782.690000001</v>
      </c>
      <c r="H1555" s="464"/>
      <c r="I1555" s="2"/>
      <c r="J1555" s="14"/>
      <c r="K1555" s="14"/>
    </row>
    <row r="1556" spans="1:9" ht="12.75">
      <c r="A1556" s="309" t="s">
        <v>44</v>
      </c>
      <c r="B1556" s="87"/>
      <c r="C1556" s="122"/>
      <c r="D1556" s="88"/>
      <c r="E1556" s="88"/>
      <c r="F1556" s="122"/>
      <c r="G1556" s="375"/>
      <c r="H1556" s="465"/>
      <c r="I1556" s="2"/>
    </row>
    <row r="1557" spans="1:8" ht="12.75">
      <c r="A1557" s="147" t="s">
        <v>375</v>
      </c>
      <c r="B1557" s="39" t="s">
        <v>217</v>
      </c>
      <c r="C1557" s="122">
        <v>0</v>
      </c>
      <c r="D1557" s="88">
        <v>990000</v>
      </c>
      <c r="E1557" s="88">
        <f>F1557-D1557</f>
        <v>10000</v>
      </c>
      <c r="F1557" s="122">
        <v>1000000</v>
      </c>
      <c r="G1557" s="122">
        <v>400000</v>
      </c>
      <c r="H1557" s="2"/>
    </row>
    <row r="1558" spans="1:8" ht="12.75">
      <c r="A1558" s="147" t="s">
        <v>92</v>
      </c>
      <c r="B1558" s="39" t="s">
        <v>157</v>
      </c>
      <c r="C1558" s="122">
        <v>0</v>
      </c>
      <c r="D1558" s="88">
        <v>0</v>
      </c>
      <c r="E1558" s="88">
        <f>F1558-D1558</f>
        <v>0</v>
      </c>
      <c r="F1558" s="122">
        <v>0</v>
      </c>
      <c r="G1558" s="122">
        <f>60000+70000+70000</f>
        <v>200000</v>
      </c>
      <c r="H1558" s="2"/>
    </row>
    <row r="1559" spans="1:8" ht="15">
      <c r="A1559" s="147" t="s">
        <v>26</v>
      </c>
      <c r="B1559" s="190" t="s">
        <v>155</v>
      </c>
      <c r="C1559" s="122">
        <v>0</v>
      </c>
      <c r="D1559" s="88">
        <v>0</v>
      </c>
      <c r="E1559" s="88">
        <f>F1559-D1559</f>
        <v>0</v>
      </c>
      <c r="F1559" s="122">
        <v>0</v>
      </c>
      <c r="G1559" s="122">
        <v>150000</v>
      </c>
      <c r="H1559" s="53"/>
    </row>
    <row r="1560" spans="1:8" ht="15">
      <c r="A1560" s="458" t="s">
        <v>371</v>
      </c>
      <c r="B1560" s="58" t="s">
        <v>264</v>
      </c>
      <c r="C1560" s="122"/>
      <c r="D1560" s="88">
        <v>0</v>
      </c>
      <c r="E1560" s="88">
        <f>F1560-D1560</f>
        <v>600000</v>
      </c>
      <c r="F1560" s="122">
        <v>600000</v>
      </c>
      <c r="G1560" s="122">
        <v>0</v>
      </c>
      <c r="H1560" s="53"/>
    </row>
    <row r="1561" spans="1:8" ht="15">
      <c r="A1561" s="33" t="s">
        <v>110</v>
      </c>
      <c r="B1561" s="17" t="s">
        <v>158</v>
      </c>
      <c r="C1561" s="122"/>
      <c r="D1561" s="88">
        <v>2490000</v>
      </c>
      <c r="E1561" s="88">
        <f>F1561-D1561</f>
        <v>10000</v>
      </c>
      <c r="F1561" s="122">
        <v>2500000</v>
      </c>
      <c r="G1561" s="122">
        <v>0</v>
      </c>
      <c r="H1561" s="53"/>
    </row>
    <row r="1562" spans="1:12" ht="12.75">
      <c r="A1562" s="37" t="s">
        <v>77</v>
      </c>
      <c r="B1562" s="26"/>
      <c r="C1562" s="31">
        <f>SUM(C1557:C1561)</f>
        <v>0</v>
      </c>
      <c r="D1562" s="31">
        <f>SUM(D1557:D1561)</f>
        <v>3480000</v>
      </c>
      <c r="E1562" s="31">
        <f>SUM(E1557:E1561)</f>
        <v>620000</v>
      </c>
      <c r="F1562" s="31">
        <f>SUM(F1557:F1561)</f>
        <v>4100000</v>
      </c>
      <c r="G1562" s="31">
        <f>SUM(G1557:G1561)</f>
        <v>750000</v>
      </c>
      <c r="H1562" s="2"/>
      <c r="L1562" s="14"/>
    </row>
    <row r="1563" spans="1:8" ht="12.75">
      <c r="A1563" s="25" t="s">
        <v>34</v>
      </c>
      <c r="B1563" s="25"/>
      <c r="C1563" s="457">
        <f>C1527+C1555+C1562</f>
        <v>16245240.879999999</v>
      </c>
      <c r="D1563" s="457">
        <f>D1527+D1555+D1562</f>
        <v>10009286.41</v>
      </c>
      <c r="E1563" s="457">
        <f>E1527+E1555+E1562</f>
        <v>18476087.82</v>
      </c>
      <c r="F1563" s="457">
        <f>F1527+F1555+F1562</f>
        <v>28485374.23</v>
      </c>
      <c r="G1563" s="457">
        <f>G1527+G1555+G1562</f>
        <v>24570538.05</v>
      </c>
      <c r="H1563" s="59"/>
    </row>
    <row r="1564" spans="1:8" ht="3.75" customHeight="1">
      <c r="A1564" s="2"/>
      <c r="B1564" s="2"/>
      <c r="C1564" s="2"/>
      <c r="D1564" s="2"/>
      <c r="E1564" s="2"/>
      <c r="F1564" s="2"/>
      <c r="G1564" s="59"/>
      <c r="H1564" s="2"/>
    </row>
    <row r="1565" spans="1:8" ht="12.75">
      <c r="A1565" s="2" t="s">
        <v>185</v>
      </c>
      <c r="B1565" s="2" t="s">
        <v>186</v>
      </c>
      <c r="C1565" s="2"/>
      <c r="D1565" s="2"/>
      <c r="E1565" s="161" t="s">
        <v>170</v>
      </c>
      <c r="F1565" s="2"/>
      <c r="G1565" s="59"/>
      <c r="H1565" s="154"/>
    </row>
    <row r="1566" spans="1:8" ht="9.75" customHeight="1">
      <c r="A1566" s="2"/>
      <c r="B1566" s="2"/>
      <c r="C1566" s="2"/>
      <c r="D1566" s="2"/>
      <c r="E1566" s="161"/>
      <c r="F1566" s="170"/>
      <c r="G1566" s="165"/>
      <c r="H1566" s="154"/>
    </row>
    <row r="1567" spans="1:8" ht="3.75" customHeight="1">
      <c r="A1567" s="2"/>
      <c r="B1567" s="2"/>
      <c r="C1567" s="2"/>
      <c r="D1567" s="2"/>
      <c r="E1567" s="161"/>
      <c r="F1567" s="2"/>
      <c r="G1567" s="59"/>
      <c r="H1567" s="163"/>
    </row>
    <row r="1568" spans="1:8" ht="12.75">
      <c r="A1568" s="22" t="s">
        <v>195</v>
      </c>
      <c r="B1568" s="22" t="s">
        <v>277</v>
      </c>
      <c r="C1568" s="22"/>
      <c r="D1568" s="22"/>
      <c r="E1568" s="162" t="s">
        <v>161</v>
      </c>
      <c r="F1568" s="22"/>
      <c r="G1568" s="2"/>
      <c r="H1568" s="2"/>
    </row>
    <row r="1569" spans="1:8" ht="11.25" customHeight="1">
      <c r="A1569" s="2" t="s">
        <v>194</v>
      </c>
      <c r="B1569" s="2" t="s">
        <v>373</v>
      </c>
      <c r="C1569" s="2"/>
      <c r="D1569" s="2"/>
      <c r="E1569" s="161" t="s">
        <v>25</v>
      </c>
      <c r="F1569" s="22"/>
      <c r="G1569" s="2"/>
      <c r="H1569" s="2"/>
    </row>
    <row r="1570" spans="1:8" ht="12.75">
      <c r="A1570" s="2"/>
      <c r="B1570" s="2"/>
      <c r="C1570" s="2"/>
      <c r="D1570" s="2"/>
      <c r="E1570" s="161"/>
      <c r="F1570" s="22"/>
      <c r="G1570" s="2"/>
      <c r="H1570" s="2"/>
    </row>
    <row r="1571" spans="1:8" ht="12.75">
      <c r="A1571" s="19" t="s">
        <v>208</v>
      </c>
      <c r="B1571" s="2"/>
      <c r="C1571" s="2"/>
      <c r="D1571" s="2"/>
      <c r="E1571" s="2"/>
      <c r="F1571" s="2"/>
      <c r="G1571" s="2"/>
      <c r="H1571" s="59"/>
    </row>
    <row r="1572" spans="1:8" ht="12.75">
      <c r="A1572" s="19"/>
      <c r="B1572" s="2"/>
      <c r="C1572" s="2"/>
      <c r="D1572" s="2"/>
      <c r="E1572" s="2"/>
      <c r="F1572" s="2"/>
      <c r="G1572" s="2"/>
      <c r="H1572" s="59"/>
    </row>
    <row r="1573" spans="1:8" ht="15">
      <c r="A1573" s="474" t="s">
        <v>165</v>
      </c>
      <c r="B1573" s="474"/>
      <c r="C1573" s="474"/>
      <c r="D1573" s="474"/>
      <c r="E1573" s="474"/>
      <c r="F1573" s="474"/>
      <c r="G1573" s="474"/>
      <c r="H1573" s="59"/>
    </row>
    <row r="1574" spans="1:8" ht="15">
      <c r="A1574" s="474" t="s">
        <v>172</v>
      </c>
      <c r="B1574" s="474"/>
      <c r="C1574" s="474"/>
      <c r="D1574" s="474"/>
      <c r="E1574" s="474"/>
      <c r="F1574" s="474"/>
      <c r="G1574" s="474"/>
      <c r="H1574" s="59"/>
    </row>
    <row r="1575" spans="1:8" ht="12.75">
      <c r="A1575" s="54"/>
      <c r="B1575" s="54"/>
      <c r="C1575" s="54"/>
      <c r="D1575" s="54"/>
      <c r="E1575" s="54"/>
      <c r="F1575" s="54"/>
      <c r="G1575" s="54"/>
      <c r="H1575" s="59"/>
    </row>
    <row r="1576" spans="1:8" ht="12.75">
      <c r="A1576" s="54"/>
      <c r="B1576" s="54"/>
      <c r="C1576" s="54"/>
      <c r="D1576" s="54"/>
      <c r="E1576" s="54"/>
      <c r="F1576" s="54"/>
      <c r="G1576" s="54"/>
      <c r="H1576" s="59"/>
    </row>
    <row r="1577" spans="1:8" ht="12.75">
      <c r="A1577" s="21" t="s">
        <v>52</v>
      </c>
      <c r="B1577" s="21" t="s">
        <v>206</v>
      </c>
      <c r="C1577" s="21"/>
      <c r="D1577" s="21"/>
      <c r="E1577" s="21"/>
      <c r="F1577" s="2"/>
      <c r="G1577" s="2"/>
      <c r="H1577" s="59"/>
    </row>
    <row r="1578" spans="1:8" ht="12.75">
      <c r="A1578" s="21"/>
      <c r="B1578" s="21"/>
      <c r="C1578" s="21"/>
      <c r="D1578" s="21"/>
      <c r="E1578" s="21"/>
      <c r="F1578" s="2"/>
      <c r="G1578" s="2"/>
      <c r="H1578" s="59"/>
    </row>
    <row r="1579" spans="1:8" ht="12.75">
      <c r="A1579" s="2"/>
      <c r="B1579" s="2"/>
      <c r="C1579" s="2"/>
      <c r="D1579" s="2"/>
      <c r="E1579" s="2"/>
      <c r="F1579" s="2"/>
      <c r="G1579" s="2"/>
      <c r="H1579" s="59"/>
    </row>
    <row r="1580" spans="1:8" ht="12.75">
      <c r="A1580" s="23"/>
      <c r="B1580" s="23"/>
      <c r="C1580" s="475" t="s">
        <v>79</v>
      </c>
      <c r="D1580" s="479" t="s">
        <v>166</v>
      </c>
      <c r="E1580" s="480"/>
      <c r="F1580" s="481"/>
      <c r="G1580" s="482" t="s">
        <v>73</v>
      </c>
      <c r="H1580" s="59"/>
    </row>
    <row r="1581" spans="1:8" ht="12.75">
      <c r="A1581" s="24" t="s">
        <v>167</v>
      </c>
      <c r="B1581" s="304" t="s">
        <v>241</v>
      </c>
      <c r="C1581" s="476"/>
      <c r="D1581" s="24" t="s">
        <v>168</v>
      </c>
      <c r="E1581" s="24" t="s">
        <v>169</v>
      </c>
      <c r="F1581" s="477" t="s">
        <v>23</v>
      </c>
      <c r="G1581" s="483"/>
      <c r="H1581" s="59"/>
    </row>
    <row r="1582" spans="1:9" ht="12.75">
      <c r="A1582" s="24"/>
      <c r="B1582" s="24"/>
      <c r="C1582" s="24" t="s">
        <v>53</v>
      </c>
      <c r="D1582" s="24" t="s">
        <v>53</v>
      </c>
      <c r="E1582" s="156" t="s">
        <v>86</v>
      </c>
      <c r="F1582" s="478"/>
      <c r="G1582" s="3" t="s">
        <v>54</v>
      </c>
      <c r="H1582" s="59"/>
      <c r="I1582" s="14"/>
    </row>
    <row r="1583" spans="1:8" ht="12.75">
      <c r="A1583" s="46">
        <v>1</v>
      </c>
      <c r="B1583" s="46">
        <v>2</v>
      </c>
      <c r="C1583" s="46">
        <v>3</v>
      </c>
      <c r="D1583" s="90">
        <v>4</v>
      </c>
      <c r="E1583" s="90">
        <v>5</v>
      </c>
      <c r="F1583" s="90">
        <v>6</v>
      </c>
      <c r="G1583" s="91">
        <v>7</v>
      </c>
      <c r="H1583" s="59"/>
    </row>
    <row r="1584" spans="1:8" ht="12.75">
      <c r="A1584" s="5"/>
      <c r="B1584" s="5"/>
      <c r="C1584" s="5"/>
      <c r="D1584" s="116"/>
      <c r="E1584" s="116"/>
      <c r="F1584" s="116"/>
      <c r="G1584" s="5"/>
      <c r="H1584" s="138"/>
    </row>
    <row r="1585" spans="1:8" ht="15">
      <c r="A1585" s="18" t="s">
        <v>43</v>
      </c>
      <c r="B1585" s="72"/>
      <c r="C1585" s="5"/>
      <c r="D1585" s="116"/>
      <c r="E1585" s="116"/>
      <c r="F1585" s="116"/>
      <c r="G1585" s="92"/>
      <c r="H1585" s="59"/>
    </row>
    <row r="1586" spans="1:8" ht="12.75">
      <c r="A1586" s="41" t="s">
        <v>222</v>
      </c>
      <c r="B1586" s="157" t="s">
        <v>113</v>
      </c>
      <c r="C1586" s="6">
        <v>1514069.5</v>
      </c>
      <c r="D1586" s="191">
        <v>850062.59</v>
      </c>
      <c r="E1586" s="88">
        <f aca="true" t="shared" si="40" ref="E1586:E1601">F1586-D1586</f>
        <v>1452821.4100000001</v>
      </c>
      <c r="F1586" s="139">
        <v>2302884</v>
      </c>
      <c r="G1586" s="139">
        <v>2245476</v>
      </c>
      <c r="H1586" s="2"/>
    </row>
    <row r="1587" spans="1:9" ht="12.75">
      <c r="A1587" s="29" t="s">
        <v>224</v>
      </c>
      <c r="B1587" s="157" t="s">
        <v>114</v>
      </c>
      <c r="C1587" s="6">
        <v>94000</v>
      </c>
      <c r="D1587" s="191">
        <v>56000</v>
      </c>
      <c r="E1587" s="88">
        <f t="shared" si="40"/>
        <v>88000</v>
      </c>
      <c r="F1587" s="139">
        <v>144000</v>
      </c>
      <c r="G1587" s="139">
        <v>144000</v>
      </c>
      <c r="H1587" s="16"/>
      <c r="I1587" s="14"/>
    </row>
    <row r="1588" spans="1:8" ht="12.75">
      <c r="A1588" s="41" t="s">
        <v>42</v>
      </c>
      <c r="B1588" s="157" t="s">
        <v>115</v>
      </c>
      <c r="C1588" s="6">
        <v>76500</v>
      </c>
      <c r="D1588" s="191">
        <f>6375+6375+6375+6375+6375+6375</f>
        <v>38250</v>
      </c>
      <c r="E1588" s="88">
        <f t="shared" si="40"/>
        <v>38250</v>
      </c>
      <c r="F1588" s="139">
        <v>76500</v>
      </c>
      <c r="G1588" s="139">
        <v>76500</v>
      </c>
      <c r="H1588" s="59"/>
    </row>
    <row r="1589" spans="1:9" ht="12.75">
      <c r="A1589" s="41" t="s">
        <v>3</v>
      </c>
      <c r="B1589" s="62" t="s">
        <v>159</v>
      </c>
      <c r="C1589" s="6">
        <v>76500</v>
      </c>
      <c r="D1589" s="191">
        <f>6375+6375+6375+6375+6375+6375</f>
        <v>38250</v>
      </c>
      <c r="E1589" s="88">
        <f t="shared" si="40"/>
        <v>38250</v>
      </c>
      <c r="F1589" s="139">
        <v>76500</v>
      </c>
      <c r="G1589" s="139">
        <v>76500</v>
      </c>
      <c r="H1589" s="59"/>
      <c r="I1589" s="14"/>
    </row>
    <row r="1590" spans="1:8" ht="12.75">
      <c r="A1590" s="41" t="s">
        <v>18</v>
      </c>
      <c r="B1590" s="157" t="s">
        <v>116</v>
      </c>
      <c r="C1590" s="6">
        <v>24000</v>
      </c>
      <c r="D1590" s="191">
        <v>24000</v>
      </c>
      <c r="E1590" s="88">
        <f t="shared" si="40"/>
        <v>12000</v>
      </c>
      <c r="F1590" s="139">
        <v>36000</v>
      </c>
      <c r="G1590" s="139">
        <v>36000</v>
      </c>
      <c r="H1590" s="59"/>
    </row>
    <row r="1591" spans="1:8" ht="12.75">
      <c r="A1591" s="41" t="s">
        <v>175</v>
      </c>
      <c r="B1591" s="157" t="s">
        <v>176</v>
      </c>
      <c r="C1591" s="64">
        <v>15000</v>
      </c>
      <c r="D1591" s="152">
        <v>0</v>
      </c>
      <c r="E1591" s="88">
        <f t="shared" si="40"/>
        <v>30000</v>
      </c>
      <c r="F1591" s="77">
        <v>30000</v>
      </c>
      <c r="G1591" s="77">
        <v>30000</v>
      </c>
      <c r="H1591" s="59"/>
    </row>
    <row r="1592" spans="1:8" ht="12.75">
      <c r="A1592" s="41" t="s">
        <v>207</v>
      </c>
      <c r="B1592" s="63" t="s">
        <v>216</v>
      </c>
      <c r="C1592" s="6">
        <v>51700</v>
      </c>
      <c r="D1592" s="6">
        <v>11750</v>
      </c>
      <c r="E1592" s="88">
        <f t="shared" si="40"/>
        <v>42250</v>
      </c>
      <c r="F1592" s="139">
        <v>54000</v>
      </c>
      <c r="G1592" s="139">
        <v>90000</v>
      </c>
      <c r="H1592" s="59"/>
    </row>
    <row r="1593" spans="1:8" ht="12.75">
      <c r="A1593" s="41" t="s">
        <v>27</v>
      </c>
      <c r="B1593" s="157" t="s">
        <v>117</v>
      </c>
      <c r="C1593" s="6">
        <v>20000</v>
      </c>
      <c r="D1593" s="191">
        <v>0</v>
      </c>
      <c r="E1593" s="88">
        <f t="shared" si="40"/>
        <v>30000</v>
      </c>
      <c r="F1593" s="139">
        <v>30000</v>
      </c>
      <c r="G1593" s="139">
        <v>30000</v>
      </c>
      <c r="H1593" s="59"/>
    </row>
    <row r="1594" spans="1:8" ht="12.75">
      <c r="A1594" s="41" t="s">
        <v>96</v>
      </c>
      <c r="B1594" s="157" t="s">
        <v>118</v>
      </c>
      <c r="C1594" s="6">
        <v>136519</v>
      </c>
      <c r="D1594" s="191">
        <v>0</v>
      </c>
      <c r="E1594" s="88">
        <f t="shared" si="40"/>
        <v>191907</v>
      </c>
      <c r="F1594" s="139">
        <f>F1586/12</f>
        <v>191907</v>
      </c>
      <c r="G1594" s="139">
        <f>G1586/12</f>
        <v>187123</v>
      </c>
      <c r="H1594" s="59"/>
    </row>
    <row r="1595" spans="1:8" ht="12.75">
      <c r="A1595" s="41" t="s">
        <v>173</v>
      </c>
      <c r="B1595" s="157" t="s">
        <v>174</v>
      </c>
      <c r="C1595" s="152">
        <v>136519</v>
      </c>
      <c r="D1595" s="64">
        <v>146758</v>
      </c>
      <c r="E1595" s="88">
        <f t="shared" si="40"/>
        <v>45149</v>
      </c>
      <c r="F1595" s="363">
        <f>F1594</f>
        <v>191907</v>
      </c>
      <c r="G1595" s="363">
        <f>G1594</f>
        <v>187123</v>
      </c>
      <c r="H1595" s="59"/>
    </row>
    <row r="1596" spans="1:8" ht="12.75" customHeight="1">
      <c r="A1596" s="41" t="s">
        <v>235</v>
      </c>
      <c r="B1596" s="157" t="s">
        <v>119</v>
      </c>
      <c r="C1596" s="6">
        <v>176733.6</v>
      </c>
      <c r="D1596" s="191">
        <v>102817.51</v>
      </c>
      <c r="E1596" s="88">
        <f t="shared" si="40"/>
        <v>173528.57</v>
      </c>
      <c r="F1596" s="139">
        <f>F1586*12%</f>
        <v>276346.08</v>
      </c>
      <c r="G1596" s="139">
        <v>269457.12</v>
      </c>
      <c r="H1596" s="59"/>
    </row>
    <row r="1597" spans="1:8" ht="12.75">
      <c r="A1597" s="41" t="s">
        <v>28</v>
      </c>
      <c r="B1597" s="157" t="s">
        <v>120</v>
      </c>
      <c r="C1597" s="6">
        <v>4600</v>
      </c>
      <c r="D1597" s="191">
        <v>2800</v>
      </c>
      <c r="E1597" s="88">
        <f t="shared" si="40"/>
        <v>4400</v>
      </c>
      <c r="F1597" s="139">
        <v>7200</v>
      </c>
      <c r="G1597" s="139">
        <v>7200</v>
      </c>
      <c r="H1597" s="59"/>
    </row>
    <row r="1598" spans="1:8" ht="12.75">
      <c r="A1598" s="41" t="s">
        <v>69</v>
      </c>
      <c r="B1598" s="157" t="s">
        <v>121</v>
      </c>
      <c r="C1598" s="6">
        <v>18704.87</v>
      </c>
      <c r="D1598" s="191">
        <v>12587.09</v>
      </c>
      <c r="E1598" s="88">
        <f t="shared" si="40"/>
        <v>32470.51</v>
      </c>
      <c r="F1598" s="139">
        <v>45057.6</v>
      </c>
      <c r="G1598" s="139">
        <v>50523.21</v>
      </c>
      <c r="H1598" s="59"/>
    </row>
    <row r="1599" spans="1:8" ht="12.75">
      <c r="A1599" s="29" t="s">
        <v>122</v>
      </c>
      <c r="B1599" s="157" t="s">
        <v>123</v>
      </c>
      <c r="C1599" s="6">
        <v>4600</v>
      </c>
      <c r="D1599" s="191">
        <v>2800</v>
      </c>
      <c r="E1599" s="88">
        <f t="shared" si="40"/>
        <v>4400</v>
      </c>
      <c r="F1599" s="139">
        <v>7200</v>
      </c>
      <c r="G1599" s="139">
        <v>7200</v>
      </c>
      <c r="H1599" s="59"/>
    </row>
    <row r="1600" spans="1:8" ht="12.75">
      <c r="A1600" s="317" t="s">
        <v>68</v>
      </c>
      <c r="B1600" s="157" t="s">
        <v>124</v>
      </c>
      <c r="C1600" s="6"/>
      <c r="D1600" s="191">
        <v>1696030.87</v>
      </c>
      <c r="E1600" s="88">
        <f t="shared" si="40"/>
        <v>192187.06999999983</v>
      </c>
      <c r="F1600" s="139">
        <v>1888217.94</v>
      </c>
      <c r="G1600" s="139">
        <v>0</v>
      </c>
      <c r="H1600" s="59"/>
    </row>
    <row r="1601" spans="1:9" ht="12.75">
      <c r="A1601" s="41" t="s">
        <v>99</v>
      </c>
      <c r="B1601" s="157" t="s">
        <v>125</v>
      </c>
      <c r="C1601" s="6">
        <v>39364.32</v>
      </c>
      <c r="D1601" s="191">
        <v>0</v>
      </c>
      <c r="E1601" s="88">
        <f t="shared" si="40"/>
        <v>92485.16</v>
      </c>
      <c r="F1601" s="6">
        <v>92485.16</v>
      </c>
      <c r="G1601" s="60">
        <v>90179.63</v>
      </c>
      <c r="H1601" s="133"/>
      <c r="I1601" s="14"/>
    </row>
    <row r="1602" spans="1:9" ht="12.75">
      <c r="A1602" s="18" t="s">
        <v>193</v>
      </c>
      <c r="B1602" s="42"/>
      <c r="C1602" s="8">
        <f>SUM(C1586:C1601)</f>
        <v>2388810.29</v>
      </c>
      <c r="D1602" s="8">
        <f>SUM(D1586:D1601)</f>
        <v>2982106.06</v>
      </c>
      <c r="E1602" s="8">
        <f>SUM(E1586:E1601)</f>
        <v>2468098.7199999997</v>
      </c>
      <c r="F1602" s="8">
        <f>SUM(F1586:F1601)</f>
        <v>5450204.78</v>
      </c>
      <c r="G1602" s="140">
        <f>SUM(G1586:G1601)</f>
        <v>3527281.96</v>
      </c>
      <c r="H1602" s="133"/>
      <c r="I1602" s="315">
        <f>G1602</f>
        <v>3527281.96</v>
      </c>
    </row>
    <row r="1603" spans="1:8" ht="12.75">
      <c r="A1603" s="5"/>
      <c r="B1603" s="33"/>
      <c r="C1603" s="6"/>
      <c r="D1603" s="6"/>
      <c r="E1603" s="6"/>
      <c r="F1603" s="6"/>
      <c r="G1603" s="6"/>
      <c r="H1603" s="133"/>
    </row>
    <row r="1604" spans="1:8" ht="12.75">
      <c r="A1604" s="179"/>
      <c r="B1604" s="182"/>
      <c r="C1604" s="183"/>
      <c r="D1604" s="183"/>
      <c r="E1604" s="183"/>
      <c r="F1604" s="183"/>
      <c r="G1604" s="183"/>
      <c r="H1604" s="133"/>
    </row>
    <row r="1605" spans="1:8" ht="12.75">
      <c r="A1605" s="2"/>
      <c r="B1605" s="36"/>
      <c r="C1605" s="59"/>
      <c r="D1605" s="59"/>
      <c r="E1605" s="59"/>
      <c r="F1605" s="59"/>
      <c r="G1605" s="59"/>
      <c r="H1605" s="133"/>
    </row>
    <row r="1606" spans="1:8" ht="12.75">
      <c r="A1606" s="2"/>
      <c r="B1606" s="36"/>
      <c r="C1606" s="59"/>
      <c r="D1606" s="59"/>
      <c r="E1606" s="59"/>
      <c r="F1606" s="59"/>
      <c r="G1606" s="59"/>
      <c r="H1606" s="133"/>
    </row>
    <row r="1607" spans="1:8" ht="12.75">
      <c r="A1607" s="2"/>
      <c r="B1607" s="36"/>
      <c r="C1607" s="59"/>
      <c r="D1607" s="59"/>
      <c r="E1607" s="59"/>
      <c r="F1607" s="59"/>
      <c r="G1607" s="59"/>
      <c r="H1607" s="133"/>
    </row>
    <row r="1608" spans="1:8" ht="18.75" customHeight="1">
      <c r="A1608" s="68"/>
      <c r="B1608" s="184"/>
      <c r="C1608" s="185"/>
      <c r="D1608" s="185"/>
      <c r="E1608" s="185"/>
      <c r="F1608" s="185"/>
      <c r="G1608" s="185"/>
      <c r="H1608" s="133"/>
    </row>
    <row r="1609" spans="1:13" ht="12.75">
      <c r="A1609" s="328"/>
      <c r="B1609" s="328"/>
      <c r="C1609" s="475" t="s">
        <v>79</v>
      </c>
      <c r="D1609" s="479" t="s">
        <v>166</v>
      </c>
      <c r="E1609" s="480"/>
      <c r="F1609" s="481"/>
      <c r="G1609" s="482" t="s">
        <v>73</v>
      </c>
      <c r="H1609" s="133"/>
      <c r="J1609" s="14"/>
      <c r="K1609" s="14"/>
      <c r="M1609" s="14"/>
    </row>
    <row r="1610" spans="1:13" ht="12.75">
      <c r="A1610" s="24" t="s">
        <v>167</v>
      </c>
      <c r="B1610" s="304" t="s">
        <v>241</v>
      </c>
      <c r="C1610" s="476"/>
      <c r="D1610" s="24" t="s">
        <v>168</v>
      </c>
      <c r="E1610" s="24" t="s">
        <v>169</v>
      </c>
      <c r="F1610" s="477" t="s">
        <v>23</v>
      </c>
      <c r="G1610" s="483"/>
      <c r="H1610" s="133"/>
      <c r="J1610" s="14"/>
      <c r="K1610" s="14"/>
      <c r="M1610" s="14"/>
    </row>
    <row r="1611" spans="1:13" ht="12.75">
      <c r="A1611" s="24"/>
      <c r="B1611" s="24"/>
      <c r="C1611" s="24" t="s">
        <v>53</v>
      </c>
      <c r="D1611" s="24" t="s">
        <v>53</v>
      </c>
      <c r="E1611" s="156" t="s">
        <v>86</v>
      </c>
      <c r="F1611" s="478"/>
      <c r="G1611" s="3" t="s">
        <v>54</v>
      </c>
      <c r="H1611" s="133"/>
      <c r="J1611" s="14"/>
      <c r="K1611" s="14"/>
      <c r="M1611" s="14"/>
    </row>
    <row r="1612" spans="1:13" ht="12.75">
      <c r="A1612" s="274">
        <v>1</v>
      </c>
      <c r="B1612" s="46">
        <v>2</v>
      </c>
      <c r="C1612" s="46">
        <v>3</v>
      </c>
      <c r="D1612" s="90">
        <v>4</v>
      </c>
      <c r="E1612" s="90">
        <v>5</v>
      </c>
      <c r="F1612" s="90">
        <v>6</v>
      </c>
      <c r="G1612" s="91">
        <v>7</v>
      </c>
      <c r="H1612" s="133"/>
      <c r="J1612" s="14"/>
      <c r="K1612" s="14"/>
      <c r="M1612" s="14"/>
    </row>
    <row r="1613" spans="1:8" ht="14.25">
      <c r="A1613" s="43" t="s">
        <v>178</v>
      </c>
      <c r="B1613" s="160"/>
      <c r="C1613" s="5"/>
      <c r="D1613" s="5"/>
      <c r="E1613" s="5"/>
      <c r="F1613" s="5"/>
      <c r="G1613" s="5"/>
      <c r="H1613" s="133"/>
    </row>
    <row r="1614" spans="1:8" ht="12.75">
      <c r="A1614" s="275" t="s">
        <v>191</v>
      </c>
      <c r="B1614" s="75" t="s">
        <v>126</v>
      </c>
      <c r="C1614" s="282">
        <v>96670</v>
      </c>
      <c r="D1614" s="191">
        <v>3000</v>
      </c>
      <c r="E1614" s="88">
        <f aca="true" t="shared" si="41" ref="E1614:E1631">F1614-D1614</f>
        <v>117000</v>
      </c>
      <c r="F1614" s="146">
        <v>120000</v>
      </c>
      <c r="G1614" s="146">
        <v>120000</v>
      </c>
      <c r="H1614" s="16"/>
    </row>
    <row r="1615" spans="1:8" ht="12.75">
      <c r="A1615" s="41" t="s">
        <v>19</v>
      </c>
      <c r="B1615" s="75" t="s">
        <v>127</v>
      </c>
      <c r="C1615" s="282">
        <v>6000</v>
      </c>
      <c r="D1615" s="191">
        <v>3000</v>
      </c>
      <c r="E1615" s="88">
        <f t="shared" si="41"/>
        <v>130000</v>
      </c>
      <c r="F1615" s="146">
        <v>133000</v>
      </c>
      <c r="G1615" s="146">
        <v>133000</v>
      </c>
      <c r="H1615" s="16"/>
    </row>
    <row r="1616" spans="1:8" ht="12.75">
      <c r="A1616" s="125" t="s">
        <v>2</v>
      </c>
      <c r="B1616" s="75" t="s">
        <v>128</v>
      </c>
      <c r="C1616" s="282">
        <v>81649.44</v>
      </c>
      <c r="D1616" s="343">
        <v>2963.4</v>
      </c>
      <c r="E1616" s="88">
        <f t="shared" si="41"/>
        <v>91036.6</v>
      </c>
      <c r="F1616" s="146">
        <v>94000</v>
      </c>
      <c r="G1616" s="146">
        <v>90000</v>
      </c>
      <c r="H1616" s="16"/>
    </row>
    <row r="1617" spans="1:8" ht="12.75">
      <c r="A1617" s="372" t="s">
        <v>364</v>
      </c>
      <c r="B1617" s="75" t="s">
        <v>324</v>
      </c>
      <c r="C1617" s="282">
        <v>0</v>
      </c>
      <c r="D1617" s="191">
        <v>100740</v>
      </c>
      <c r="E1617" s="88">
        <f t="shared" si="41"/>
        <v>899260</v>
      </c>
      <c r="F1617" s="146">
        <v>1000000</v>
      </c>
      <c r="G1617" s="146">
        <v>500000</v>
      </c>
      <c r="H1617" s="16"/>
    </row>
    <row r="1618" spans="1:8" ht="12.75">
      <c r="A1618" s="144" t="s">
        <v>344</v>
      </c>
      <c r="B1618" s="75" t="s">
        <v>219</v>
      </c>
      <c r="C1618" s="282">
        <v>37500</v>
      </c>
      <c r="D1618" s="191">
        <v>45000</v>
      </c>
      <c r="E1618" s="88">
        <f t="shared" si="41"/>
        <v>0</v>
      </c>
      <c r="F1618" s="146">
        <v>45000</v>
      </c>
      <c r="G1618" s="146">
        <v>167000</v>
      </c>
      <c r="H1618" s="16"/>
    </row>
    <row r="1619" spans="1:8" ht="12.75">
      <c r="A1619" s="275" t="s">
        <v>63</v>
      </c>
      <c r="B1619" s="75" t="s">
        <v>131</v>
      </c>
      <c r="C1619" s="282">
        <v>0</v>
      </c>
      <c r="D1619" s="191">
        <v>0</v>
      </c>
      <c r="E1619" s="88">
        <f t="shared" si="41"/>
        <v>2000</v>
      </c>
      <c r="F1619" s="146">
        <v>2000</v>
      </c>
      <c r="G1619" s="146">
        <v>4000</v>
      </c>
      <c r="H1619" s="16"/>
    </row>
    <row r="1620" spans="1:8" ht="12.75">
      <c r="A1620" s="275" t="s">
        <v>227</v>
      </c>
      <c r="B1620" s="75" t="s">
        <v>135</v>
      </c>
      <c r="C1620" s="282">
        <v>84000</v>
      </c>
      <c r="D1620" s="64">
        <v>42000</v>
      </c>
      <c r="E1620" s="88">
        <f t="shared" si="41"/>
        <v>42000</v>
      </c>
      <c r="F1620" s="146">
        <v>84000</v>
      </c>
      <c r="G1620" s="146">
        <v>84000</v>
      </c>
      <c r="H1620" s="16"/>
    </row>
    <row r="1621" spans="1:8" ht="12.75">
      <c r="A1621" s="41" t="s">
        <v>45</v>
      </c>
      <c r="B1621" s="63" t="s">
        <v>136</v>
      </c>
      <c r="C1621" s="6">
        <v>24000</v>
      </c>
      <c r="D1621" s="191">
        <v>12000</v>
      </c>
      <c r="E1621" s="88">
        <f t="shared" si="41"/>
        <v>12000</v>
      </c>
      <c r="F1621" s="139">
        <v>24000</v>
      </c>
      <c r="G1621" s="139">
        <v>24000</v>
      </c>
      <c r="H1621" s="16"/>
    </row>
    <row r="1622" spans="1:8" ht="12.75">
      <c r="A1622" s="372" t="s">
        <v>326</v>
      </c>
      <c r="B1622" s="63" t="s">
        <v>327</v>
      </c>
      <c r="C1622" s="178">
        <v>0</v>
      </c>
      <c r="D1622" s="191">
        <v>0</v>
      </c>
      <c r="E1622" s="88">
        <f t="shared" si="41"/>
        <v>0</v>
      </c>
      <c r="F1622" s="420">
        <v>0</v>
      </c>
      <c r="G1622" s="420">
        <v>0</v>
      </c>
      <c r="H1622" s="16"/>
    </row>
    <row r="1623" spans="1:8" ht="12" customHeight="1">
      <c r="A1623" s="144" t="s">
        <v>95</v>
      </c>
      <c r="B1623" s="63" t="s">
        <v>140</v>
      </c>
      <c r="C1623" s="282">
        <v>33000</v>
      </c>
      <c r="D1623" s="191">
        <v>28000</v>
      </c>
      <c r="E1623" s="88">
        <f t="shared" si="41"/>
        <v>42000</v>
      </c>
      <c r="F1623" s="146">
        <v>70000</v>
      </c>
      <c r="G1623" s="146">
        <v>30000</v>
      </c>
      <c r="H1623" s="16"/>
    </row>
    <row r="1624" spans="1:8" ht="12" customHeight="1">
      <c r="A1624" s="317" t="s">
        <v>363</v>
      </c>
      <c r="B1624" s="62" t="s">
        <v>252</v>
      </c>
      <c r="C1624" s="282"/>
      <c r="D1624" s="191">
        <v>30075</v>
      </c>
      <c r="E1624" s="59">
        <f t="shared" si="41"/>
        <v>49125</v>
      </c>
      <c r="F1624" s="146">
        <v>79200</v>
      </c>
      <c r="G1624" s="146">
        <v>0</v>
      </c>
      <c r="H1624" s="16"/>
    </row>
    <row r="1625" spans="1:11" ht="12.75">
      <c r="A1625" s="29" t="s">
        <v>253</v>
      </c>
      <c r="B1625" s="62" t="s">
        <v>254</v>
      </c>
      <c r="C1625" s="283">
        <v>1439675</v>
      </c>
      <c r="D1625" s="152">
        <v>590750</v>
      </c>
      <c r="E1625" s="152">
        <f t="shared" si="41"/>
        <v>1148050</v>
      </c>
      <c r="F1625" s="363">
        <v>1738800</v>
      </c>
      <c r="G1625" s="363">
        <v>1267000</v>
      </c>
      <c r="H1625" s="118"/>
      <c r="J1625" s="14"/>
      <c r="K1625" s="14"/>
    </row>
    <row r="1626" spans="1:8" ht="12.75">
      <c r="A1626" s="105" t="s">
        <v>214</v>
      </c>
      <c r="B1626" s="94" t="s">
        <v>145</v>
      </c>
      <c r="C1626" s="6">
        <v>0</v>
      </c>
      <c r="D1626" s="191">
        <v>0</v>
      </c>
      <c r="E1626" s="88">
        <f t="shared" si="41"/>
        <v>0</v>
      </c>
      <c r="F1626" s="139">
        <v>0</v>
      </c>
      <c r="G1626" s="139">
        <v>0</v>
      </c>
      <c r="H1626" s="59"/>
    </row>
    <row r="1627" spans="1:8" ht="12.75">
      <c r="A1627" s="275" t="s">
        <v>146</v>
      </c>
      <c r="B1627" s="75" t="s">
        <v>147</v>
      </c>
      <c r="C1627" s="282">
        <v>7500</v>
      </c>
      <c r="D1627" s="191">
        <v>0</v>
      </c>
      <c r="E1627" s="88">
        <f t="shared" si="41"/>
        <v>10000</v>
      </c>
      <c r="F1627" s="146">
        <v>10000</v>
      </c>
      <c r="G1627" s="146">
        <v>0</v>
      </c>
      <c r="H1627" s="59"/>
    </row>
    <row r="1628" spans="1:8" ht="12.75">
      <c r="A1628" s="381" t="s">
        <v>301</v>
      </c>
      <c r="B1628" s="62" t="s">
        <v>213</v>
      </c>
      <c r="C1628" s="145">
        <v>9200</v>
      </c>
      <c r="D1628" s="191">
        <v>11000</v>
      </c>
      <c r="E1628" s="88">
        <f t="shared" si="41"/>
        <v>1000</v>
      </c>
      <c r="F1628" s="77">
        <v>12000</v>
      </c>
      <c r="G1628" s="77">
        <v>0</v>
      </c>
      <c r="H1628" s="59"/>
    </row>
    <row r="1629" spans="1:13" ht="12.75">
      <c r="A1629" s="29" t="s">
        <v>270</v>
      </c>
      <c r="B1629" s="62" t="s">
        <v>271</v>
      </c>
      <c r="C1629" s="88">
        <v>1003850</v>
      </c>
      <c r="D1629" s="191">
        <v>237700</v>
      </c>
      <c r="E1629" s="88">
        <f t="shared" si="41"/>
        <v>403300</v>
      </c>
      <c r="F1629" s="121">
        <v>641000</v>
      </c>
      <c r="G1629" s="121">
        <v>652000</v>
      </c>
      <c r="H1629" s="16"/>
      <c r="L1629" s="14"/>
      <c r="M1629" s="14"/>
    </row>
    <row r="1630" spans="1:13" ht="12.75">
      <c r="A1630" s="381" t="s">
        <v>347</v>
      </c>
      <c r="B1630" s="75" t="s">
        <v>151</v>
      </c>
      <c r="C1630" s="145">
        <v>1400890</v>
      </c>
      <c r="D1630" s="191">
        <v>1216600</v>
      </c>
      <c r="E1630" s="88">
        <f t="shared" si="41"/>
        <v>1254400</v>
      </c>
      <c r="F1630" s="77">
        <f>2971000-500000</f>
        <v>2471000</v>
      </c>
      <c r="G1630" s="77">
        <v>3161000</v>
      </c>
      <c r="H1630" s="16"/>
      <c r="L1630" s="14"/>
      <c r="M1630" s="14"/>
    </row>
    <row r="1631" spans="1:8" ht="12.75">
      <c r="A1631" s="41" t="s">
        <v>58</v>
      </c>
      <c r="B1631" s="17" t="s">
        <v>153</v>
      </c>
      <c r="C1631" s="282"/>
      <c r="D1631" s="191">
        <v>0</v>
      </c>
      <c r="E1631" s="88">
        <f t="shared" si="41"/>
        <v>0</v>
      </c>
      <c r="F1631" s="282"/>
      <c r="G1631" s="146"/>
      <c r="H1631" s="16"/>
    </row>
    <row r="1632" spans="1:8" ht="12.75">
      <c r="A1632" s="300"/>
      <c r="B1632" s="17" t="s">
        <v>153</v>
      </c>
      <c r="C1632" s="282"/>
      <c r="D1632" s="216"/>
      <c r="E1632" s="88"/>
      <c r="F1632" s="282"/>
      <c r="G1632" s="146"/>
      <c r="H1632" s="54"/>
    </row>
    <row r="1633" spans="1:8" ht="2.25" customHeight="1">
      <c r="A1633" s="300"/>
      <c r="B1633" s="17"/>
      <c r="C1633" s="282"/>
      <c r="D1633" s="216"/>
      <c r="E1633" s="88"/>
      <c r="F1633" s="282"/>
      <c r="G1633" s="146"/>
      <c r="H1633" s="118"/>
    </row>
    <row r="1634" spans="1:11" ht="13.5" customHeight="1">
      <c r="A1634" s="43" t="s">
        <v>192</v>
      </c>
      <c r="B1634" s="7"/>
      <c r="C1634" s="284">
        <f>SUM(C1613:C1633)</f>
        <v>4223934.4399999995</v>
      </c>
      <c r="D1634" s="284">
        <f>SUM(D1613:D1633)</f>
        <v>2322828.4</v>
      </c>
      <c r="E1634" s="284">
        <f>SUM(E1613:E1633)</f>
        <v>4201171.6</v>
      </c>
      <c r="F1634" s="284">
        <f>SUM(F1613:F1633)</f>
        <v>6524000</v>
      </c>
      <c r="G1634" s="140">
        <f>SUM(G1613:G1633)</f>
        <v>6232000</v>
      </c>
      <c r="H1634" s="2"/>
      <c r="J1634" s="14"/>
      <c r="K1634" s="14"/>
    </row>
    <row r="1635" spans="1:8" ht="12.75">
      <c r="A1635" s="43" t="s">
        <v>44</v>
      </c>
      <c r="B1635" s="5"/>
      <c r="C1635" s="292"/>
      <c r="D1635" s="5"/>
      <c r="E1635" s="5"/>
      <c r="F1635" s="292"/>
      <c r="G1635" s="292"/>
      <c r="H1635" s="59"/>
    </row>
    <row r="1636" spans="1:8" ht="12.75">
      <c r="A1636" s="276" t="s">
        <v>26</v>
      </c>
      <c r="B1636" s="39" t="s">
        <v>155</v>
      </c>
      <c r="C1636" s="123">
        <v>28800</v>
      </c>
      <c r="D1636" s="6">
        <v>0</v>
      </c>
      <c r="E1636" s="88">
        <f>F1636-D1636</f>
        <v>0</v>
      </c>
      <c r="F1636" s="123">
        <v>0</v>
      </c>
      <c r="G1636" s="123">
        <v>0</v>
      </c>
      <c r="H1636" s="2"/>
    </row>
    <row r="1637" spans="1:8" ht="12.75">
      <c r="A1637" s="276" t="s">
        <v>92</v>
      </c>
      <c r="B1637" s="39" t="s">
        <v>157</v>
      </c>
      <c r="C1637" s="122">
        <v>90000</v>
      </c>
      <c r="D1637" s="88">
        <v>0</v>
      </c>
      <c r="E1637" s="88">
        <f>F1637-D1637</f>
        <v>50000</v>
      </c>
      <c r="F1637" s="122">
        <v>50000</v>
      </c>
      <c r="G1637" s="122">
        <v>0</v>
      </c>
      <c r="H1637" s="2"/>
    </row>
    <row r="1638" spans="1:8" ht="12.75">
      <c r="A1638" s="33" t="s">
        <v>80</v>
      </c>
      <c r="B1638" s="63" t="s">
        <v>156</v>
      </c>
      <c r="C1638" s="123">
        <v>0</v>
      </c>
      <c r="D1638" s="6">
        <v>0</v>
      </c>
      <c r="E1638" s="88">
        <f>F1638-D1638</f>
        <v>70000</v>
      </c>
      <c r="F1638" s="123">
        <v>70000</v>
      </c>
      <c r="G1638" s="123">
        <v>0</v>
      </c>
      <c r="H1638" s="2"/>
    </row>
    <row r="1639" spans="1:12" ht="12.75">
      <c r="A1639" s="43" t="s">
        <v>77</v>
      </c>
      <c r="B1639" s="7"/>
      <c r="C1639" s="8">
        <f>SUM(C1636:C1638)</f>
        <v>118800</v>
      </c>
      <c r="D1639" s="8">
        <f>SUM(D1636:D1638)</f>
        <v>0</v>
      </c>
      <c r="E1639" s="8">
        <f>SUM(E1636:E1638)</f>
        <v>120000</v>
      </c>
      <c r="F1639" s="8">
        <f>SUM(F1636:F1638)</f>
        <v>120000</v>
      </c>
      <c r="G1639" s="284">
        <f>SUM(G1636:G1638)</f>
        <v>0</v>
      </c>
      <c r="H1639" s="154"/>
      <c r="L1639" s="14"/>
    </row>
    <row r="1640" spans="1:8" ht="12.75">
      <c r="A1640" s="7" t="s">
        <v>34</v>
      </c>
      <c r="B1640" s="7"/>
      <c r="C1640" s="8">
        <f>C1602+C1634+C1639</f>
        <v>6731544.7299999995</v>
      </c>
      <c r="D1640" s="8">
        <f>D1602+D1634+D1639</f>
        <v>5304934.46</v>
      </c>
      <c r="E1640" s="8">
        <f>E1602+E1634+E1639</f>
        <v>6789270.319999999</v>
      </c>
      <c r="F1640" s="8">
        <f>F1602+F1634+F1639</f>
        <v>12094204.780000001</v>
      </c>
      <c r="G1640" s="8">
        <f>G1602+G1634+G1639</f>
        <v>9759281.96</v>
      </c>
      <c r="H1640" s="316"/>
    </row>
    <row r="1641" spans="1:8" ht="9.75" customHeight="1">
      <c r="A1641" s="4"/>
      <c r="B1641" s="4"/>
      <c r="C1641" s="4"/>
      <c r="D1641" s="4"/>
      <c r="E1641" s="4"/>
      <c r="F1641" s="4"/>
      <c r="G1641" s="4"/>
      <c r="H1641" s="163"/>
    </row>
    <row r="1642" spans="1:8" ht="14.25" customHeight="1">
      <c r="A1642" s="2"/>
      <c r="B1642" s="2"/>
      <c r="C1642" s="2"/>
      <c r="D1642" s="2"/>
      <c r="E1642" s="2"/>
      <c r="F1642" s="59"/>
      <c r="G1642" s="175"/>
      <c r="H1642" s="175"/>
    </row>
    <row r="1643" spans="1:8" ht="12.75">
      <c r="A1643" s="2" t="s">
        <v>185</v>
      </c>
      <c r="B1643" s="2" t="s">
        <v>186</v>
      </c>
      <c r="C1643" s="2"/>
      <c r="D1643" s="2"/>
      <c r="E1643" s="161" t="s">
        <v>170</v>
      </c>
      <c r="F1643" s="2"/>
      <c r="G1643" s="59"/>
      <c r="H1643" s="59"/>
    </row>
    <row r="1644" spans="1:8" ht="12.75">
      <c r="A1644" s="2"/>
      <c r="B1644" s="2"/>
      <c r="C1644" s="2"/>
      <c r="D1644" s="2"/>
      <c r="E1644" s="161"/>
      <c r="F1644" s="2"/>
      <c r="G1644" s="433"/>
      <c r="H1644" s="59"/>
    </row>
    <row r="1645" spans="1:8" ht="14.25" customHeight="1">
      <c r="A1645" s="22"/>
      <c r="B1645" s="2"/>
      <c r="C1645" s="2"/>
      <c r="D1645" s="2"/>
      <c r="E1645" s="161"/>
      <c r="F1645" s="2"/>
      <c r="G1645" s="59"/>
      <c r="H1645" s="59"/>
    </row>
    <row r="1646" spans="1:8" ht="12.75">
      <c r="A1646" s="445" t="s">
        <v>377</v>
      </c>
      <c r="B1646" s="22" t="s">
        <v>277</v>
      </c>
      <c r="C1646" s="22"/>
      <c r="D1646" s="22"/>
      <c r="E1646" s="162" t="s">
        <v>161</v>
      </c>
      <c r="F1646" s="22"/>
      <c r="G1646" s="2"/>
      <c r="H1646" s="59"/>
    </row>
    <row r="1647" spans="1:8" ht="12.75">
      <c r="A1647" s="2" t="s">
        <v>200</v>
      </c>
      <c r="B1647" s="2" t="s">
        <v>373</v>
      </c>
      <c r="C1647" s="2"/>
      <c r="D1647" s="2"/>
      <c r="E1647" s="161" t="s">
        <v>25</v>
      </c>
      <c r="F1647" s="22"/>
      <c r="G1647" s="2"/>
      <c r="H1647" s="59"/>
    </row>
    <row r="1648" spans="1:8" ht="12.75">
      <c r="A1648" s="2"/>
      <c r="B1648" s="2"/>
      <c r="C1648" s="2"/>
      <c r="D1648" s="2"/>
      <c r="E1648" s="161"/>
      <c r="F1648" s="22"/>
      <c r="G1648" s="2"/>
      <c r="H1648" s="59"/>
    </row>
    <row r="1649" spans="1:8" ht="12.75">
      <c r="A1649" s="2"/>
      <c r="B1649" s="2"/>
      <c r="C1649" s="2"/>
      <c r="D1649" s="2"/>
      <c r="E1649" s="161"/>
      <c r="F1649" s="22"/>
      <c r="G1649" s="2"/>
      <c r="H1649" s="59"/>
    </row>
    <row r="1650" spans="1:8" ht="12.75">
      <c r="A1650" s="81" t="s">
        <v>208</v>
      </c>
      <c r="B1650" s="2"/>
      <c r="C1650" s="2"/>
      <c r="D1650" s="2"/>
      <c r="E1650" s="2"/>
      <c r="F1650" s="2"/>
      <c r="G1650" s="2"/>
      <c r="H1650" s="59"/>
    </row>
    <row r="1651" spans="1:8" ht="14.25" customHeight="1">
      <c r="A1651" s="81"/>
      <c r="B1651" s="2"/>
      <c r="C1651" s="2"/>
      <c r="D1651" s="2"/>
      <c r="E1651" s="2"/>
      <c r="F1651" s="2"/>
      <c r="G1651" s="2"/>
      <c r="H1651" s="59"/>
    </row>
    <row r="1652" spans="1:8" ht="12.75">
      <c r="A1652" s="2"/>
      <c r="B1652" s="2"/>
      <c r="C1652" s="2"/>
      <c r="D1652" s="2"/>
      <c r="E1652" s="2"/>
      <c r="F1652" s="2"/>
      <c r="G1652" s="2"/>
      <c r="H1652" s="59"/>
    </row>
    <row r="1653" spans="1:8" ht="15">
      <c r="A1653" s="473" t="s">
        <v>165</v>
      </c>
      <c r="B1653" s="473"/>
      <c r="C1653" s="473"/>
      <c r="D1653" s="473"/>
      <c r="E1653" s="473"/>
      <c r="F1653" s="473"/>
      <c r="G1653" s="473"/>
      <c r="H1653" s="59"/>
    </row>
    <row r="1654" spans="1:8" ht="15">
      <c r="A1654" s="473" t="s">
        <v>172</v>
      </c>
      <c r="B1654" s="473"/>
      <c r="C1654" s="473"/>
      <c r="D1654" s="473"/>
      <c r="E1654" s="473"/>
      <c r="F1654" s="473"/>
      <c r="G1654" s="473"/>
      <c r="H1654" s="59"/>
    </row>
    <row r="1655" spans="1:8" ht="12.75">
      <c r="A1655" s="54"/>
      <c r="B1655" s="54"/>
      <c r="C1655" s="54"/>
      <c r="D1655" s="54"/>
      <c r="E1655" s="54"/>
      <c r="F1655" s="54"/>
      <c r="G1655" s="54"/>
      <c r="H1655" s="59"/>
    </row>
    <row r="1656" spans="1:8" ht="12.75">
      <c r="A1656" s="54"/>
      <c r="B1656" s="54"/>
      <c r="C1656" s="54"/>
      <c r="D1656" s="54"/>
      <c r="E1656" s="54"/>
      <c r="F1656" s="54"/>
      <c r="G1656" s="54"/>
      <c r="H1656" s="59"/>
    </row>
    <row r="1657" spans="1:8" ht="12.75">
      <c r="A1657" s="21" t="s">
        <v>52</v>
      </c>
      <c r="B1657" s="21" t="s">
        <v>22</v>
      </c>
      <c r="C1657" s="21"/>
      <c r="D1657" s="21"/>
      <c r="E1657" s="21"/>
      <c r="F1657" s="2"/>
      <c r="G1657" s="2"/>
      <c r="H1657" s="59"/>
    </row>
    <row r="1658" spans="1:8" ht="12.75">
      <c r="A1658" s="21"/>
      <c r="B1658" s="21"/>
      <c r="C1658" s="21"/>
      <c r="D1658" s="21"/>
      <c r="E1658" s="21"/>
      <c r="F1658" s="2"/>
      <c r="G1658" s="2"/>
      <c r="H1658" s="59"/>
    </row>
    <row r="1659" spans="1:9" ht="12.75">
      <c r="A1659" s="2"/>
      <c r="B1659" s="2"/>
      <c r="C1659" s="2"/>
      <c r="D1659" s="2"/>
      <c r="E1659" s="2"/>
      <c r="F1659" s="2"/>
      <c r="G1659" s="2"/>
      <c r="H1659" s="59"/>
      <c r="I1659" s="14"/>
    </row>
    <row r="1660" spans="1:8" ht="12.75">
      <c r="A1660" s="23"/>
      <c r="B1660" s="23"/>
      <c r="C1660" s="475" t="s">
        <v>79</v>
      </c>
      <c r="D1660" s="479" t="s">
        <v>166</v>
      </c>
      <c r="E1660" s="480"/>
      <c r="F1660" s="481"/>
      <c r="G1660" s="482" t="s">
        <v>73</v>
      </c>
      <c r="H1660" s="59"/>
    </row>
    <row r="1661" spans="1:8" ht="12.75">
      <c r="A1661" s="24" t="s">
        <v>167</v>
      </c>
      <c r="B1661" s="304" t="s">
        <v>241</v>
      </c>
      <c r="C1661" s="476"/>
      <c r="D1661" s="24" t="s">
        <v>168</v>
      </c>
      <c r="E1661" s="24" t="s">
        <v>169</v>
      </c>
      <c r="F1661" s="477" t="s">
        <v>23</v>
      </c>
      <c r="G1661" s="483"/>
      <c r="H1661" s="59"/>
    </row>
    <row r="1662" spans="1:8" ht="12.75">
      <c r="A1662" s="24"/>
      <c r="B1662" s="24"/>
      <c r="C1662" s="24" t="s">
        <v>53</v>
      </c>
      <c r="D1662" s="24" t="s">
        <v>53</v>
      </c>
      <c r="E1662" s="156" t="s">
        <v>86</v>
      </c>
      <c r="F1662" s="478"/>
      <c r="G1662" s="3" t="s">
        <v>54</v>
      </c>
      <c r="H1662" s="59"/>
    </row>
    <row r="1663" spans="1:11" ht="12.75">
      <c r="A1663" s="46">
        <v>1</v>
      </c>
      <c r="B1663" s="46">
        <v>2</v>
      </c>
      <c r="C1663" s="46">
        <v>3</v>
      </c>
      <c r="D1663" s="90">
        <v>4</v>
      </c>
      <c r="E1663" s="90">
        <v>5</v>
      </c>
      <c r="F1663" s="90">
        <v>6</v>
      </c>
      <c r="G1663" s="91">
        <v>7</v>
      </c>
      <c r="H1663" s="16"/>
      <c r="I1663" s="14"/>
      <c r="J1663" s="14"/>
      <c r="K1663" s="14"/>
    </row>
    <row r="1664" spans="1:11" ht="12.75">
      <c r="A1664" s="5"/>
      <c r="B1664" s="5"/>
      <c r="C1664" s="5"/>
      <c r="D1664" s="116"/>
      <c r="E1664" s="116"/>
      <c r="F1664" s="116"/>
      <c r="G1664" s="5"/>
      <c r="H1664" s="16"/>
      <c r="I1664" s="14"/>
      <c r="J1664" s="14"/>
      <c r="K1664" s="14"/>
    </row>
    <row r="1665" spans="1:11" ht="15">
      <c r="A1665" s="18" t="s">
        <v>43</v>
      </c>
      <c r="B1665" s="72"/>
      <c r="C1665" s="5"/>
      <c r="D1665" s="116"/>
      <c r="E1665" s="116"/>
      <c r="F1665" s="116"/>
      <c r="G1665" s="92"/>
      <c r="H1665" s="16"/>
      <c r="I1665" s="14"/>
      <c r="J1665" s="14"/>
      <c r="K1665" s="14"/>
    </row>
    <row r="1666" spans="1:11" ht="12.75">
      <c r="A1666" s="41" t="s">
        <v>222</v>
      </c>
      <c r="B1666" s="157" t="s">
        <v>113</v>
      </c>
      <c r="C1666" s="6">
        <v>2482084</v>
      </c>
      <c r="D1666" s="191">
        <v>1306950</v>
      </c>
      <c r="E1666" s="88">
        <f aca="true" t="shared" si="42" ref="E1666:E1680">F1666-D1666</f>
        <v>1308714</v>
      </c>
      <c r="F1666" s="139">
        <v>2615664</v>
      </c>
      <c r="G1666" s="139">
        <v>2727048</v>
      </c>
      <c r="H1666" s="16"/>
      <c r="I1666" s="14"/>
      <c r="J1666" s="14"/>
      <c r="K1666" s="14"/>
    </row>
    <row r="1667" spans="1:11" ht="12.75">
      <c r="A1667" s="29" t="s">
        <v>100</v>
      </c>
      <c r="B1667" s="157" t="s">
        <v>114</v>
      </c>
      <c r="C1667" s="6">
        <v>180000</v>
      </c>
      <c r="D1667" s="191">
        <v>96000</v>
      </c>
      <c r="E1667" s="88">
        <f t="shared" si="42"/>
        <v>96000</v>
      </c>
      <c r="F1667" s="139">
        <v>192000</v>
      </c>
      <c r="G1667" s="139">
        <v>192000</v>
      </c>
      <c r="H1667" s="16"/>
      <c r="I1667" s="14"/>
      <c r="J1667" s="14"/>
      <c r="K1667" s="14"/>
    </row>
    <row r="1668" spans="1:11" ht="12.75">
      <c r="A1668" s="41" t="s">
        <v>42</v>
      </c>
      <c r="B1668" s="58" t="s">
        <v>115</v>
      </c>
      <c r="C1668" s="6">
        <v>76500</v>
      </c>
      <c r="D1668" s="191">
        <v>38250</v>
      </c>
      <c r="E1668" s="88">
        <f t="shared" si="42"/>
        <v>38250</v>
      </c>
      <c r="F1668" s="139">
        <v>76500</v>
      </c>
      <c r="G1668" s="139">
        <v>76500</v>
      </c>
      <c r="H1668" s="16"/>
      <c r="I1668" s="14"/>
      <c r="J1668" s="14"/>
      <c r="K1668" s="14"/>
    </row>
    <row r="1669" spans="1:11" ht="12.75">
      <c r="A1669" s="41" t="s">
        <v>3</v>
      </c>
      <c r="B1669" s="39" t="s">
        <v>159</v>
      </c>
      <c r="C1669" s="6">
        <v>76500</v>
      </c>
      <c r="D1669" s="191">
        <v>38250</v>
      </c>
      <c r="E1669" s="88">
        <f t="shared" si="42"/>
        <v>38250</v>
      </c>
      <c r="F1669" s="139">
        <v>76500</v>
      </c>
      <c r="G1669" s="139">
        <v>76500</v>
      </c>
      <c r="H1669" s="16"/>
      <c r="I1669" s="14"/>
      <c r="J1669" s="14"/>
      <c r="K1669" s="14"/>
    </row>
    <row r="1670" spans="1:11" ht="12.75">
      <c r="A1670" s="41" t="s">
        <v>18</v>
      </c>
      <c r="B1670" s="58" t="s">
        <v>116</v>
      </c>
      <c r="C1670" s="6">
        <v>42000</v>
      </c>
      <c r="D1670" s="191">
        <v>48000</v>
      </c>
      <c r="E1670" s="88">
        <f t="shared" si="42"/>
        <v>0</v>
      </c>
      <c r="F1670" s="139">
        <v>48000</v>
      </c>
      <c r="G1670" s="139">
        <v>48000</v>
      </c>
      <c r="H1670" s="16"/>
      <c r="I1670" s="14"/>
      <c r="J1670" s="14"/>
      <c r="K1670" s="14"/>
    </row>
    <row r="1671" spans="1:11" ht="12.75">
      <c r="A1671" s="41" t="s">
        <v>175</v>
      </c>
      <c r="B1671" s="58" t="s">
        <v>176</v>
      </c>
      <c r="C1671" s="64">
        <v>40000</v>
      </c>
      <c r="D1671" s="152">
        <v>0</v>
      </c>
      <c r="E1671" s="88">
        <f t="shared" si="42"/>
        <v>40000</v>
      </c>
      <c r="F1671" s="77">
        <v>40000</v>
      </c>
      <c r="G1671" s="77">
        <v>40000</v>
      </c>
      <c r="H1671" s="16"/>
      <c r="I1671" s="14"/>
      <c r="J1671" s="14"/>
      <c r="K1671" s="14"/>
    </row>
    <row r="1672" spans="1:11" ht="12.75">
      <c r="A1672" s="41" t="s">
        <v>27</v>
      </c>
      <c r="B1672" s="58" t="s">
        <v>117</v>
      </c>
      <c r="C1672" s="6">
        <v>40000</v>
      </c>
      <c r="D1672" s="191">
        <v>0</v>
      </c>
      <c r="E1672" s="88">
        <f t="shared" si="42"/>
        <v>40000</v>
      </c>
      <c r="F1672" s="139">
        <v>40000</v>
      </c>
      <c r="G1672" s="139">
        <v>40000</v>
      </c>
      <c r="H1672" s="16"/>
      <c r="I1672" s="14"/>
      <c r="J1672" s="14"/>
      <c r="K1672" s="14"/>
    </row>
    <row r="1673" spans="1:11" ht="12.75">
      <c r="A1673" s="41" t="s">
        <v>96</v>
      </c>
      <c r="B1673" s="58" t="s">
        <v>118</v>
      </c>
      <c r="C1673" s="6">
        <v>210046</v>
      </c>
      <c r="D1673" s="191">
        <v>0</v>
      </c>
      <c r="E1673" s="88">
        <f t="shared" si="42"/>
        <v>217972</v>
      </c>
      <c r="F1673" s="139">
        <f>F1666/12</f>
        <v>217972</v>
      </c>
      <c r="G1673" s="139">
        <f>G1666/12</f>
        <v>227254</v>
      </c>
      <c r="H1673" s="16"/>
      <c r="I1673" s="14"/>
      <c r="J1673" s="14"/>
      <c r="K1673" s="14"/>
    </row>
    <row r="1674" spans="1:8" ht="12.75">
      <c r="A1674" s="41" t="s">
        <v>173</v>
      </c>
      <c r="B1674" s="58" t="s">
        <v>174</v>
      </c>
      <c r="C1674" s="6">
        <v>192022</v>
      </c>
      <c r="D1674" s="64">
        <v>217825</v>
      </c>
      <c r="E1674" s="88">
        <f t="shared" si="42"/>
        <v>147</v>
      </c>
      <c r="F1674" s="139">
        <f>F1673</f>
        <v>217972</v>
      </c>
      <c r="G1674" s="139">
        <f>G1673</f>
        <v>227254</v>
      </c>
      <c r="H1674" s="59"/>
    </row>
    <row r="1675" spans="1:8" ht="12.75">
      <c r="A1675" s="41" t="s">
        <v>235</v>
      </c>
      <c r="B1675" s="58" t="s">
        <v>119</v>
      </c>
      <c r="C1675" s="6">
        <v>285136.08</v>
      </c>
      <c r="D1675" s="191">
        <v>156834</v>
      </c>
      <c r="E1675" s="88">
        <f t="shared" si="42"/>
        <v>157045.68</v>
      </c>
      <c r="F1675" s="139">
        <f>F1666*12%</f>
        <v>313879.68</v>
      </c>
      <c r="G1675" s="139">
        <v>327245.76</v>
      </c>
      <c r="H1675" s="59"/>
    </row>
    <row r="1676" spans="1:8" ht="12.75">
      <c r="A1676" s="41" t="s">
        <v>28</v>
      </c>
      <c r="B1676" s="58" t="s">
        <v>120</v>
      </c>
      <c r="C1676" s="6">
        <v>9000</v>
      </c>
      <c r="D1676" s="191">
        <v>4800</v>
      </c>
      <c r="E1676" s="88">
        <f t="shared" si="42"/>
        <v>4800</v>
      </c>
      <c r="F1676" s="139">
        <v>9600</v>
      </c>
      <c r="G1676" s="139">
        <v>9600</v>
      </c>
      <c r="H1676" s="59"/>
    </row>
    <row r="1677" spans="1:8" ht="12.75">
      <c r="A1677" s="41" t="s">
        <v>69</v>
      </c>
      <c r="B1677" s="58" t="s">
        <v>121</v>
      </c>
      <c r="C1677" s="6">
        <v>33170.43</v>
      </c>
      <c r="D1677" s="191">
        <v>19550.2</v>
      </c>
      <c r="E1677" s="88">
        <f t="shared" si="42"/>
        <v>32763.079999999998</v>
      </c>
      <c r="F1677" s="139">
        <v>52313.28</v>
      </c>
      <c r="G1677" s="139">
        <v>61358.58</v>
      </c>
      <c r="H1677" s="59"/>
    </row>
    <row r="1678" spans="1:8" ht="12.75">
      <c r="A1678" s="41" t="s">
        <v>122</v>
      </c>
      <c r="B1678" s="58" t="s">
        <v>123</v>
      </c>
      <c r="C1678" s="6">
        <v>9000</v>
      </c>
      <c r="D1678" s="191">
        <v>4800</v>
      </c>
      <c r="E1678" s="88">
        <f t="shared" si="42"/>
        <v>4800</v>
      </c>
      <c r="F1678" s="139">
        <v>9600</v>
      </c>
      <c r="G1678" s="139">
        <v>9600</v>
      </c>
      <c r="H1678" s="59"/>
    </row>
    <row r="1679" spans="1:8" ht="12.75">
      <c r="A1679" s="41" t="s">
        <v>90</v>
      </c>
      <c r="B1679" s="58" t="s">
        <v>124</v>
      </c>
      <c r="C1679" s="123">
        <v>0</v>
      </c>
      <c r="D1679" s="191">
        <v>0</v>
      </c>
      <c r="E1679" s="88">
        <f t="shared" si="42"/>
        <v>0</v>
      </c>
      <c r="F1679" s="139">
        <v>0</v>
      </c>
      <c r="G1679" s="139">
        <v>0</v>
      </c>
      <c r="H1679" s="59"/>
    </row>
    <row r="1680" spans="1:9" ht="14.25" customHeight="1">
      <c r="A1680" s="41" t="s">
        <v>99</v>
      </c>
      <c r="B1680" s="58" t="s">
        <v>125</v>
      </c>
      <c r="C1680" s="6">
        <v>43253.9</v>
      </c>
      <c r="D1680" s="191">
        <v>59669.31</v>
      </c>
      <c r="E1680" s="88">
        <f t="shared" si="42"/>
        <v>45377.28</v>
      </c>
      <c r="F1680" s="6">
        <v>105046.59</v>
      </c>
      <c r="G1680" s="60">
        <v>109519.84</v>
      </c>
      <c r="H1680" s="6"/>
      <c r="I1680" s="8"/>
    </row>
    <row r="1681" spans="1:8" ht="12.75">
      <c r="A1681" s="5"/>
      <c r="B1681" s="76"/>
      <c r="C1681" s="5"/>
      <c r="D1681" s="5"/>
      <c r="E1681" s="5"/>
      <c r="F1681" s="5"/>
      <c r="G1681" s="414"/>
      <c r="H1681" s="59"/>
    </row>
    <row r="1682" spans="1:9" ht="12.75">
      <c r="A1682" s="18" t="s">
        <v>193</v>
      </c>
      <c r="B1682" s="273"/>
      <c r="C1682" s="8">
        <f>SUM(C1666:C1680)</f>
        <v>3718712.41</v>
      </c>
      <c r="D1682" s="8">
        <f>SUM(D1666:D1680)</f>
        <v>1990928.51</v>
      </c>
      <c r="E1682" s="8">
        <f>SUM(E1666:E1680)</f>
        <v>2024119.04</v>
      </c>
      <c r="F1682" s="8">
        <f>SUM(F1666:F1680)</f>
        <v>4015047.55</v>
      </c>
      <c r="G1682" s="140">
        <f>SUM(G1666:G1680)</f>
        <v>4171880.1799999997</v>
      </c>
      <c r="H1682" s="59"/>
      <c r="I1682" s="14">
        <f>G1682</f>
        <v>4171880.1799999997</v>
      </c>
    </row>
    <row r="1683" spans="1:8" ht="13.5" thickBot="1">
      <c r="A1683" s="329"/>
      <c r="B1683" s="330"/>
      <c r="C1683" s="331"/>
      <c r="D1683" s="331"/>
      <c r="E1683" s="331"/>
      <c r="F1683" s="331"/>
      <c r="G1683" s="331"/>
      <c r="H1683" s="164"/>
    </row>
    <row r="1684" spans="1:8" ht="12.75">
      <c r="A1684" s="2"/>
      <c r="B1684" s="36"/>
      <c r="C1684" s="59"/>
      <c r="D1684" s="59"/>
      <c r="E1684" s="59"/>
      <c r="F1684" s="59"/>
      <c r="G1684" s="175"/>
      <c r="H1684" s="59"/>
    </row>
    <row r="1685" spans="1:8" ht="12.75">
      <c r="A1685" s="2"/>
      <c r="B1685" s="36"/>
      <c r="C1685" s="59"/>
      <c r="D1685" s="59"/>
      <c r="E1685" s="59"/>
      <c r="F1685" s="59"/>
      <c r="G1685" s="175"/>
      <c r="H1685" s="59"/>
    </row>
    <row r="1686" spans="1:8" ht="12.75">
      <c r="A1686" s="68"/>
      <c r="B1686" s="184"/>
      <c r="C1686" s="185"/>
      <c r="D1686" s="185"/>
      <c r="E1686" s="185"/>
      <c r="F1686" s="185"/>
      <c r="G1686" s="421"/>
      <c r="H1686" s="59"/>
    </row>
    <row r="1687" spans="1:8" ht="12.75">
      <c r="A1687" s="24"/>
      <c r="B1687" s="24"/>
      <c r="C1687" s="475" t="s">
        <v>79</v>
      </c>
      <c r="D1687" s="479" t="s">
        <v>166</v>
      </c>
      <c r="E1687" s="480"/>
      <c r="F1687" s="481"/>
      <c r="G1687" s="496" t="s">
        <v>73</v>
      </c>
      <c r="H1687" s="59"/>
    </row>
    <row r="1688" spans="1:8" ht="12.75">
      <c r="A1688" s="24" t="s">
        <v>167</v>
      </c>
      <c r="B1688" s="304" t="s">
        <v>241</v>
      </c>
      <c r="C1688" s="476"/>
      <c r="D1688" s="24" t="s">
        <v>168</v>
      </c>
      <c r="E1688" s="24" t="s">
        <v>169</v>
      </c>
      <c r="F1688" s="477" t="s">
        <v>23</v>
      </c>
      <c r="G1688" s="497"/>
      <c r="H1688" s="16"/>
    </row>
    <row r="1689" spans="1:11" ht="12.75">
      <c r="A1689" s="24"/>
      <c r="B1689" s="24"/>
      <c r="C1689" s="24" t="s">
        <v>53</v>
      </c>
      <c r="D1689" s="24" t="s">
        <v>53</v>
      </c>
      <c r="E1689" s="156" t="s">
        <v>86</v>
      </c>
      <c r="F1689" s="478"/>
      <c r="G1689" s="413" t="s">
        <v>54</v>
      </c>
      <c r="H1689" s="16"/>
      <c r="J1689" s="14"/>
      <c r="K1689" s="14"/>
    </row>
    <row r="1690" spans="1:8" ht="12" customHeight="1">
      <c r="A1690" s="46">
        <v>1</v>
      </c>
      <c r="B1690" s="46">
        <v>2</v>
      </c>
      <c r="C1690" s="46">
        <v>3</v>
      </c>
      <c r="D1690" s="90">
        <v>4</v>
      </c>
      <c r="E1690" s="90">
        <v>5</v>
      </c>
      <c r="F1690" s="90">
        <v>6</v>
      </c>
      <c r="G1690" s="422">
        <v>7</v>
      </c>
      <c r="H1690" s="59"/>
    </row>
    <row r="1691" spans="1:11" ht="12.75">
      <c r="A1691" s="43" t="s">
        <v>178</v>
      </c>
      <c r="B1691" s="72"/>
      <c r="C1691" s="6"/>
      <c r="D1691" s="6"/>
      <c r="E1691" s="6"/>
      <c r="F1691" s="6"/>
      <c r="G1691" s="139"/>
      <c r="H1691" s="59"/>
      <c r="J1691" s="14"/>
      <c r="K1691" s="14"/>
    </row>
    <row r="1692" spans="1:8" ht="12.75">
      <c r="A1692" s="5" t="s">
        <v>106</v>
      </c>
      <c r="B1692" s="39" t="s">
        <v>126</v>
      </c>
      <c r="C1692" s="64">
        <v>180560</v>
      </c>
      <c r="D1692" s="93">
        <v>48160</v>
      </c>
      <c r="E1692" s="88">
        <f aca="true" t="shared" si="43" ref="E1692:E1708">F1692-D1692</f>
        <v>151840</v>
      </c>
      <c r="F1692" s="77">
        <v>200000</v>
      </c>
      <c r="G1692" s="77">
        <v>200000</v>
      </c>
      <c r="H1692" s="175"/>
    </row>
    <row r="1693" spans="1:8" ht="12.75">
      <c r="A1693" s="5" t="s">
        <v>89</v>
      </c>
      <c r="B1693" s="39" t="s">
        <v>127</v>
      </c>
      <c r="C1693" s="64">
        <v>100000</v>
      </c>
      <c r="D1693" s="93">
        <v>0</v>
      </c>
      <c r="E1693" s="88">
        <f t="shared" si="43"/>
        <v>100000</v>
      </c>
      <c r="F1693" s="77">
        <v>100000</v>
      </c>
      <c r="G1693" s="77">
        <v>100000</v>
      </c>
      <c r="H1693" s="175"/>
    </row>
    <row r="1694" spans="1:8" ht="12.75">
      <c r="A1694" s="41" t="s">
        <v>2</v>
      </c>
      <c r="B1694" s="39" t="s">
        <v>128</v>
      </c>
      <c r="C1694" s="64">
        <v>92013.29</v>
      </c>
      <c r="D1694" s="93">
        <v>29622.79</v>
      </c>
      <c r="E1694" s="88">
        <f t="shared" si="43"/>
        <v>90377.20999999999</v>
      </c>
      <c r="F1694" s="77">
        <v>120000</v>
      </c>
      <c r="G1694" s="77">
        <v>120000</v>
      </c>
      <c r="H1694" s="175"/>
    </row>
    <row r="1695" spans="1:9" ht="12.75">
      <c r="A1695" s="41" t="s">
        <v>63</v>
      </c>
      <c r="B1695" s="39" t="s">
        <v>131</v>
      </c>
      <c r="C1695" s="64">
        <v>2520</v>
      </c>
      <c r="D1695" s="152">
        <v>0</v>
      </c>
      <c r="E1695" s="88">
        <f t="shared" si="43"/>
        <v>3000</v>
      </c>
      <c r="F1695" s="77">
        <v>3000</v>
      </c>
      <c r="G1695" s="77">
        <v>3000</v>
      </c>
      <c r="H1695" s="175"/>
      <c r="I1695" s="14"/>
    </row>
    <row r="1696" spans="1:13" ht="12.75">
      <c r="A1696" s="41" t="s">
        <v>16</v>
      </c>
      <c r="B1696" s="34" t="s">
        <v>215</v>
      </c>
      <c r="C1696" s="64">
        <v>33680</v>
      </c>
      <c r="D1696" s="152">
        <v>0</v>
      </c>
      <c r="E1696" s="88">
        <f t="shared" si="43"/>
        <v>200000</v>
      </c>
      <c r="F1696" s="77">
        <v>200000</v>
      </c>
      <c r="G1696" s="77">
        <v>200000</v>
      </c>
      <c r="H1696" s="176"/>
      <c r="L1696" s="20"/>
      <c r="M1696" s="14"/>
    </row>
    <row r="1697" spans="1:9" ht="12.75">
      <c r="A1697" s="129" t="s">
        <v>269</v>
      </c>
      <c r="B1697" s="58" t="s">
        <v>268</v>
      </c>
      <c r="C1697" s="77">
        <v>3391360</v>
      </c>
      <c r="D1697" s="152">
        <v>2998960</v>
      </c>
      <c r="E1697" s="88">
        <f t="shared" si="43"/>
        <v>673040</v>
      </c>
      <c r="F1697" s="77">
        <v>3672000</v>
      </c>
      <c r="G1697" s="77">
        <f>3672000-500000-480000+40800</f>
        <v>2732800</v>
      </c>
      <c r="H1697" s="175"/>
      <c r="I1697" s="14"/>
    </row>
    <row r="1698" spans="1:9" ht="12.75">
      <c r="A1698" s="129" t="s">
        <v>336</v>
      </c>
      <c r="B1698" s="58" t="s">
        <v>219</v>
      </c>
      <c r="C1698" s="77">
        <v>50000</v>
      </c>
      <c r="D1698" s="152">
        <v>0</v>
      </c>
      <c r="E1698" s="88">
        <f t="shared" si="43"/>
        <v>500500</v>
      </c>
      <c r="F1698" s="77">
        <v>500500</v>
      </c>
      <c r="G1698" s="77">
        <v>500500</v>
      </c>
      <c r="H1698" s="175"/>
      <c r="I1698" s="14"/>
    </row>
    <row r="1699" spans="1:9" ht="12.75">
      <c r="A1699" s="41" t="s">
        <v>15</v>
      </c>
      <c r="B1699" s="39" t="s">
        <v>135</v>
      </c>
      <c r="C1699" s="64">
        <v>84000</v>
      </c>
      <c r="D1699" s="64">
        <v>42000</v>
      </c>
      <c r="E1699" s="88">
        <f t="shared" si="43"/>
        <v>42000</v>
      </c>
      <c r="F1699" s="77">
        <v>84000</v>
      </c>
      <c r="G1699" s="77">
        <v>84000</v>
      </c>
      <c r="H1699" s="175"/>
      <c r="I1699" s="14"/>
    </row>
    <row r="1700" spans="1:13" ht="12.75">
      <c r="A1700" s="41" t="s">
        <v>45</v>
      </c>
      <c r="B1700" s="63" t="s">
        <v>136</v>
      </c>
      <c r="C1700" s="64">
        <v>24000</v>
      </c>
      <c r="D1700" s="64">
        <v>12000</v>
      </c>
      <c r="E1700" s="88">
        <f t="shared" si="43"/>
        <v>12000</v>
      </c>
      <c r="F1700" s="77">
        <v>24000</v>
      </c>
      <c r="G1700" s="77">
        <v>24000</v>
      </c>
      <c r="H1700" s="176"/>
      <c r="L1700" s="14"/>
      <c r="M1700" s="14"/>
    </row>
    <row r="1701" spans="1:13" ht="12.75">
      <c r="A1701" s="41" t="s">
        <v>297</v>
      </c>
      <c r="B1701" s="39" t="s">
        <v>213</v>
      </c>
      <c r="C1701" s="64"/>
      <c r="D1701" s="64">
        <v>0</v>
      </c>
      <c r="E1701" s="88">
        <f t="shared" si="43"/>
        <v>6500</v>
      </c>
      <c r="F1701" s="77">
        <v>6500</v>
      </c>
      <c r="G1701" s="77">
        <v>6500</v>
      </c>
      <c r="H1701" s="176"/>
      <c r="L1701" s="14"/>
      <c r="M1701" s="14"/>
    </row>
    <row r="1702" spans="1:8" ht="12.75">
      <c r="A1702" s="41" t="s">
        <v>81</v>
      </c>
      <c r="B1702" s="39" t="s">
        <v>137</v>
      </c>
      <c r="C1702" s="64">
        <v>0</v>
      </c>
      <c r="D1702" s="152">
        <v>0</v>
      </c>
      <c r="E1702" s="88">
        <f t="shared" si="43"/>
        <v>0</v>
      </c>
      <c r="F1702" s="77">
        <v>0</v>
      </c>
      <c r="G1702" s="77">
        <v>0</v>
      </c>
      <c r="H1702" s="175"/>
    </row>
    <row r="1703" spans="1:13" ht="12.75">
      <c r="A1703" s="41" t="s">
        <v>95</v>
      </c>
      <c r="B1703" s="34" t="s">
        <v>140</v>
      </c>
      <c r="C1703" s="64">
        <v>60000</v>
      </c>
      <c r="D1703" s="64">
        <v>26600</v>
      </c>
      <c r="E1703" s="88">
        <f t="shared" si="43"/>
        <v>53400</v>
      </c>
      <c r="F1703" s="77">
        <v>80000</v>
      </c>
      <c r="G1703" s="77">
        <v>80000</v>
      </c>
      <c r="H1703" s="175"/>
      <c r="M1703" s="14"/>
    </row>
    <row r="1704" spans="1:8" ht="12.75">
      <c r="A1704" s="29" t="s">
        <v>253</v>
      </c>
      <c r="B1704" s="62" t="s">
        <v>254</v>
      </c>
      <c r="C1704" s="283">
        <v>1196300</v>
      </c>
      <c r="D1704" s="152">
        <v>407800</v>
      </c>
      <c r="E1704" s="152">
        <f>F1704-D1704</f>
        <v>752200</v>
      </c>
      <c r="F1704" s="363">
        <v>1160000</v>
      </c>
      <c r="G1704" s="363">
        <v>1201200</v>
      </c>
      <c r="H1704" s="169"/>
    </row>
    <row r="1705" spans="1:8" ht="12.75">
      <c r="A1705" s="41" t="s">
        <v>343</v>
      </c>
      <c r="B1705" s="39" t="s">
        <v>150</v>
      </c>
      <c r="C1705" s="363">
        <v>0</v>
      </c>
      <c r="D1705" s="152">
        <v>0</v>
      </c>
      <c r="E1705" s="88">
        <f t="shared" si="43"/>
        <v>0</v>
      </c>
      <c r="F1705" s="363"/>
      <c r="G1705" s="363">
        <v>100000</v>
      </c>
      <c r="H1705" s="169"/>
    </row>
    <row r="1706" spans="1:8" ht="12.75">
      <c r="A1706" s="41" t="s">
        <v>146</v>
      </c>
      <c r="B1706" s="39" t="s">
        <v>147</v>
      </c>
      <c r="C1706" s="145">
        <v>157000</v>
      </c>
      <c r="D1706" s="152">
        <v>0</v>
      </c>
      <c r="E1706" s="88">
        <f t="shared" si="43"/>
        <v>80000</v>
      </c>
      <c r="F1706" s="77">
        <v>80000</v>
      </c>
      <c r="G1706" s="77">
        <v>80000</v>
      </c>
      <c r="H1706" s="169"/>
    </row>
    <row r="1707" spans="1:8" ht="12.75">
      <c r="A1707" s="125" t="s">
        <v>266</v>
      </c>
      <c r="B1707" s="34" t="s">
        <v>150</v>
      </c>
      <c r="C1707" s="145">
        <v>0</v>
      </c>
      <c r="D1707" s="152">
        <v>0</v>
      </c>
      <c r="E1707" s="88">
        <f t="shared" si="43"/>
        <v>0</v>
      </c>
      <c r="F1707" s="77">
        <v>0</v>
      </c>
      <c r="G1707" s="77">
        <f>100000-39530.44</f>
        <v>60469.56</v>
      </c>
      <c r="H1707" s="169"/>
    </row>
    <row r="1708" spans="1:8" ht="12.75">
      <c r="A1708" s="29" t="s">
        <v>270</v>
      </c>
      <c r="B1708" s="62" t="s">
        <v>271</v>
      </c>
      <c r="C1708" s="88">
        <v>251880</v>
      </c>
      <c r="D1708" s="152">
        <v>16800</v>
      </c>
      <c r="E1708" s="88">
        <f t="shared" si="43"/>
        <v>803200</v>
      </c>
      <c r="F1708" s="121">
        <v>820000</v>
      </c>
      <c r="G1708" s="121">
        <f>820000-120000</f>
        <v>700000</v>
      </c>
      <c r="H1708" s="169"/>
    </row>
    <row r="1709" spans="1:8" ht="12.75" customHeight="1">
      <c r="A1709" s="41" t="s">
        <v>58</v>
      </c>
      <c r="B1709" s="34" t="s">
        <v>153</v>
      </c>
      <c r="C1709" s="145">
        <v>0</v>
      </c>
      <c r="D1709" s="152">
        <v>0</v>
      </c>
      <c r="E1709" s="88">
        <f>F1709-D1709</f>
        <v>1000000</v>
      </c>
      <c r="F1709" s="77">
        <v>1000000</v>
      </c>
      <c r="G1709" s="77">
        <f>2040000-55960-1500000</f>
        <v>484040</v>
      </c>
      <c r="H1709" s="175"/>
    </row>
    <row r="1710" spans="1:8" ht="12.75">
      <c r="A1710" s="65"/>
      <c r="B1710" s="339"/>
      <c r="C1710" s="145"/>
      <c r="D1710" s="152"/>
      <c r="E1710" s="88"/>
      <c r="F1710" s="145"/>
      <c r="G1710" s="77"/>
      <c r="H1710" s="395"/>
    </row>
    <row r="1711" spans="1:8" ht="12.75">
      <c r="A1711" s="65"/>
      <c r="B1711" s="34"/>
      <c r="C1711" s="145"/>
      <c r="D1711" s="64"/>
      <c r="E1711" s="88"/>
      <c r="F1711" s="145"/>
      <c r="G1711" s="77"/>
      <c r="H1711" s="395"/>
    </row>
    <row r="1712" spans="1:11" ht="12.75">
      <c r="A1712" s="43" t="s">
        <v>192</v>
      </c>
      <c r="B1712" s="102"/>
      <c r="C1712" s="8">
        <f>SUM(C1692:C1711)</f>
        <v>5623313.29</v>
      </c>
      <c r="D1712" s="8">
        <f>SUM(D1692:D1711)</f>
        <v>3581942.79</v>
      </c>
      <c r="E1712" s="8">
        <f>SUM(E1692:E1711)</f>
        <v>4468057.21</v>
      </c>
      <c r="F1712" s="8">
        <f>SUM(F1692:F1711)</f>
        <v>8050000</v>
      </c>
      <c r="G1712" s="140">
        <f>SUM(G1692:G1711)</f>
        <v>6676509.56</v>
      </c>
      <c r="H1712" s="2"/>
      <c r="J1712" s="14">
        <f>G1712</f>
        <v>6676509.56</v>
      </c>
      <c r="K1712" s="14"/>
    </row>
    <row r="1713" spans="1:13" s="11" customFormat="1" ht="15">
      <c r="A1713" s="43" t="s">
        <v>44</v>
      </c>
      <c r="B1713" s="76"/>
      <c r="C1713" s="71"/>
      <c r="D1713" s="116"/>
      <c r="E1713" s="116"/>
      <c r="F1713" s="71"/>
      <c r="G1713" s="423"/>
      <c r="H1713" s="53"/>
      <c r="I1713" s="1"/>
      <c r="J1713" s="55"/>
      <c r="K1713" s="55"/>
      <c r="L1713" s="55"/>
      <c r="M1713" s="55"/>
    </row>
    <row r="1714" spans="1:8" ht="12.75">
      <c r="A1714" s="33" t="s">
        <v>92</v>
      </c>
      <c r="B1714" s="39" t="s">
        <v>157</v>
      </c>
      <c r="C1714" s="6">
        <v>0</v>
      </c>
      <c r="D1714" s="6">
        <v>0</v>
      </c>
      <c r="E1714" s="88">
        <f>F1714-D1714</f>
        <v>50000</v>
      </c>
      <c r="F1714" s="139">
        <v>50000</v>
      </c>
      <c r="G1714" s="139">
        <v>0</v>
      </c>
      <c r="H1714" s="54"/>
    </row>
    <row r="1715" spans="1:8" ht="12.75">
      <c r="A1715" s="33" t="s">
        <v>31</v>
      </c>
      <c r="B1715" s="34" t="s">
        <v>156</v>
      </c>
      <c r="C1715" s="6">
        <v>0</v>
      </c>
      <c r="D1715" s="6">
        <v>0</v>
      </c>
      <c r="E1715" s="88">
        <f>F1715-D1715</f>
        <v>0</v>
      </c>
      <c r="F1715" s="139">
        <v>0</v>
      </c>
      <c r="G1715" s="139">
        <v>0</v>
      </c>
      <c r="H1715" s="2"/>
    </row>
    <row r="1716" spans="1:8" ht="12.75">
      <c r="A1716" s="33" t="s">
        <v>339</v>
      </c>
      <c r="B1716" s="39" t="s">
        <v>338</v>
      </c>
      <c r="C1716" s="6">
        <v>0</v>
      </c>
      <c r="D1716" s="6">
        <v>0</v>
      </c>
      <c r="E1716" s="88">
        <f>F1716-D1716</f>
        <v>0</v>
      </c>
      <c r="F1716" s="139">
        <v>0</v>
      </c>
      <c r="G1716" s="139">
        <v>0</v>
      </c>
      <c r="H1716" s="2"/>
    </row>
    <row r="1717" spans="1:12" ht="12.75">
      <c r="A1717" s="43" t="s">
        <v>77</v>
      </c>
      <c r="B1717" s="76"/>
      <c r="C1717" s="8">
        <f>C1714+C1715+C1716</f>
        <v>0</v>
      </c>
      <c r="D1717" s="8">
        <f>D1714+D1715+D1716</f>
        <v>0</v>
      </c>
      <c r="E1717" s="8">
        <f>E1714+E1715+E1716</f>
        <v>50000</v>
      </c>
      <c r="F1717" s="8">
        <f>F1714+F1715+F1716</f>
        <v>50000</v>
      </c>
      <c r="G1717" s="140">
        <f>G1714+G1715+G1716</f>
        <v>0</v>
      </c>
      <c r="H1717" s="2"/>
      <c r="L1717" s="14">
        <f>G1717</f>
        <v>0</v>
      </c>
    </row>
    <row r="1718" spans="1:9" ht="15">
      <c r="A1718" s="9" t="s">
        <v>34</v>
      </c>
      <c r="B1718" s="277"/>
      <c r="C1718" s="12">
        <f>C1682+C1712+C1717</f>
        <v>9342025.7</v>
      </c>
      <c r="D1718" s="89">
        <f>D1682+D1712+D1717</f>
        <v>5572871.3</v>
      </c>
      <c r="E1718" s="89">
        <f>E1682+E1712+E1717</f>
        <v>6542176.25</v>
      </c>
      <c r="F1718" s="12">
        <f>F1682+F1712+F1717</f>
        <v>12115047.55</v>
      </c>
      <c r="G1718" s="424">
        <f>G1682+G1712+G1717</f>
        <v>10848389.739999998</v>
      </c>
      <c r="H1718" s="59">
        <f>G1718</f>
        <v>10848389.739999998</v>
      </c>
      <c r="I1718" s="55"/>
    </row>
    <row r="1719" spans="1:8" ht="12.75">
      <c r="A1719" s="2"/>
      <c r="B1719" s="2"/>
      <c r="C1719" s="2"/>
      <c r="D1719" s="2"/>
      <c r="E1719" s="2"/>
      <c r="F1719" s="175"/>
      <c r="G1719" s="175"/>
      <c r="H1719" s="2"/>
    </row>
    <row r="1720" spans="1:8" ht="12.75">
      <c r="A1720" s="2" t="s">
        <v>185</v>
      </c>
      <c r="B1720" s="2" t="s">
        <v>186</v>
      </c>
      <c r="C1720" s="2"/>
      <c r="D1720" s="2"/>
      <c r="E1720" s="161" t="s">
        <v>170</v>
      </c>
      <c r="F1720" s="395"/>
      <c r="G1720" s="175"/>
      <c r="H1720" s="2"/>
    </row>
    <row r="1721" spans="1:8" ht="12.75">
      <c r="A1721" s="2"/>
      <c r="B1721" s="2"/>
      <c r="C1721" s="2"/>
      <c r="D1721" s="2"/>
      <c r="E1721" s="161"/>
      <c r="F1721" s="2"/>
      <c r="G1721" s="133"/>
      <c r="H1721" s="154"/>
    </row>
    <row r="1722" spans="1:8" ht="12.75">
      <c r="A1722" s="22"/>
      <c r="B1722" s="2"/>
      <c r="C1722" s="2"/>
      <c r="D1722" s="2"/>
      <c r="E1722" s="161"/>
      <c r="F1722" s="2"/>
      <c r="G1722" s="118"/>
      <c r="H1722" s="154"/>
    </row>
    <row r="1723" spans="1:13" ht="12.75">
      <c r="A1723" s="22" t="s">
        <v>370</v>
      </c>
      <c r="B1723" s="22" t="s">
        <v>277</v>
      </c>
      <c r="C1723" s="22"/>
      <c r="D1723" s="22"/>
      <c r="E1723" s="162" t="s">
        <v>161</v>
      </c>
      <c r="F1723" s="22"/>
      <c r="G1723" s="2"/>
      <c r="H1723" s="163"/>
      <c r="M1723" s="11"/>
    </row>
    <row r="1724" spans="1:8" ht="12.75">
      <c r="A1724" s="2" t="s">
        <v>22</v>
      </c>
      <c r="B1724" s="2" t="s">
        <v>373</v>
      </c>
      <c r="C1724" s="2"/>
      <c r="D1724" s="2"/>
      <c r="E1724" s="161" t="s">
        <v>25</v>
      </c>
      <c r="F1724" s="22"/>
      <c r="G1724" s="2"/>
      <c r="H1724" s="2"/>
    </row>
    <row r="1725" spans="1:9" ht="12.75">
      <c r="A1725" s="2"/>
      <c r="B1725" s="2"/>
      <c r="C1725" s="2"/>
      <c r="D1725" s="2"/>
      <c r="E1725" s="161"/>
      <c r="F1725" s="22"/>
      <c r="G1725" s="2"/>
      <c r="H1725" s="59"/>
      <c r="I1725" s="14"/>
    </row>
    <row r="1726" spans="1:9" ht="12.75">
      <c r="A1726" s="2"/>
      <c r="B1726" s="2"/>
      <c r="C1726" s="2"/>
      <c r="D1726" s="2"/>
      <c r="E1726" s="161"/>
      <c r="F1726" s="22"/>
      <c r="G1726" s="2"/>
      <c r="H1726" s="59"/>
      <c r="I1726" s="14"/>
    </row>
    <row r="1727" spans="1:9" ht="12.75">
      <c r="A1727" s="19" t="s">
        <v>208</v>
      </c>
      <c r="B1727" s="2"/>
      <c r="C1727" s="2"/>
      <c r="D1727" s="2"/>
      <c r="E1727" s="2"/>
      <c r="F1727" s="2"/>
      <c r="G1727" s="2"/>
      <c r="H1727" s="59"/>
      <c r="I1727" s="14"/>
    </row>
    <row r="1728" spans="1:9" ht="12.75">
      <c r="A1728" s="19"/>
      <c r="B1728" s="2"/>
      <c r="C1728" s="2"/>
      <c r="D1728" s="2"/>
      <c r="E1728" s="2"/>
      <c r="F1728" s="2"/>
      <c r="G1728" s="2"/>
      <c r="H1728" s="59"/>
      <c r="I1728" s="11"/>
    </row>
    <row r="1729" spans="1:8" ht="12.75">
      <c r="A1729" s="2"/>
      <c r="B1729" s="2"/>
      <c r="C1729" s="2"/>
      <c r="D1729" s="2"/>
      <c r="E1729" s="2"/>
      <c r="F1729" s="2"/>
      <c r="G1729" s="2"/>
      <c r="H1729" s="59"/>
    </row>
    <row r="1730" spans="1:8" ht="15">
      <c r="A1730" s="474" t="s">
        <v>165</v>
      </c>
      <c r="B1730" s="474"/>
      <c r="C1730" s="474"/>
      <c r="D1730" s="474"/>
      <c r="E1730" s="474"/>
      <c r="F1730" s="474"/>
      <c r="G1730" s="474"/>
      <c r="H1730" s="59"/>
    </row>
    <row r="1731" spans="1:8" ht="15">
      <c r="A1731" s="474" t="s">
        <v>172</v>
      </c>
      <c r="B1731" s="474"/>
      <c r="C1731" s="474"/>
      <c r="D1731" s="474"/>
      <c r="E1731" s="474"/>
      <c r="F1731" s="474"/>
      <c r="G1731" s="474"/>
      <c r="H1731" s="59"/>
    </row>
    <row r="1732" spans="1:8" ht="12.75">
      <c r="A1732" s="54"/>
      <c r="B1732" s="54"/>
      <c r="C1732" s="54"/>
      <c r="D1732" s="54"/>
      <c r="E1732" s="54"/>
      <c r="F1732" s="54"/>
      <c r="G1732" s="54"/>
      <c r="H1732" s="59"/>
    </row>
    <row r="1733" spans="1:8" ht="12.75">
      <c r="A1733" s="54"/>
      <c r="B1733" s="54"/>
      <c r="C1733" s="54"/>
      <c r="D1733" s="54"/>
      <c r="E1733" s="54"/>
      <c r="F1733" s="54"/>
      <c r="G1733" s="54"/>
      <c r="H1733" s="59"/>
    </row>
    <row r="1734" spans="1:8" ht="12.75">
      <c r="A1734" s="21" t="s">
        <v>52</v>
      </c>
      <c r="B1734" s="21" t="s">
        <v>50</v>
      </c>
      <c r="C1734" s="21"/>
      <c r="D1734" s="21"/>
      <c r="E1734" s="21"/>
      <c r="F1734" s="2"/>
      <c r="G1734" s="2"/>
      <c r="H1734" s="59"/>
    </row>
    <row r="1735" spans="1:8" ht="12.75">
      <c r="A1735" s="22"/>
      <c r="B1735" s="21"/>
      <c r="C1735" s="21"/>
      <c r="D1735" s="21"/>
      <c r="E1735" s="21"/>
      <c r="F1735" s="2"/>
      <c r="G1735" s="2"/>
      <c r="H1735" s="59"/>
    </row>
    <row r="1736" spans="1:8" ht="12.75">
      <c r="A1736" s="22"/>
      <c r="B1736" s="21"/>
      <c r="C1736" s="21"/>
      <c r="D1736" s="21"/>
      <c r="E1736" s="21"/>
      <c r="F1736" s="2"/>
      <c r="G1736" s="2"/>
      <c r="H1736" s="59"/>
    </row>
    <row r="1737" spans="1:8" ht="12.75">
      <c r="A1737" s="23"/>
      <c r="B1737" s="23"/>
      <c r="C1737" s="475" t="s">
        <v>79</v>
      </c>
      <c r="D1737" s="479" t="s">
        <v>166</v>
      </c>
      <c r="E1737" s="480"/>
      <c r="F1737" s="481"/>
      <c r="G1737" s="482" t="s">
        <v>73</v>
      </c>
      <c r="H1737" s="59"/>
    </row>
    <row r="1738" spans="1:8" ht="12.75">
      <c r="A1738" s="24" t="s">
        <v>167</v>
      </c>
      <c r="B1738" s="304" t="s">
        <v>241</v>
      </c>
      <c r="C1738" s="476"/>
      <c r="D1738" s="24" t="s">
        <v>168</v>
      </c>
      <c r="E1738" s="24" t="s">
        <v>169</v>
      </c>
      <c r="F1738" s="477" t="s">
        <v>23</v>
      </c>
      <c r="G1738" s="483"/>
      <c r="H1738" s="59"/>
    </row>
    <row r="1739" spans="1:8" ht="12.75">
      <c r="A1739" s="24"/>
      <c r="B1739" s="24"/>
      <c r="C1739" s="24" t="s">
        <v>53</v>
      </c>
      <c r="D1739" s="24" t="s">
        <v>53</v>
      </c>
      <c r="E1739" s="156" t="s">
        <v>86</v>
      </c>
      <c r="F1739" s="478"/>
      <c r="G1739" s="3" t="s">
        <v>54</v>
      </c>
      <c r="H1739" s="59"/>
    </row>
    <row r="1740" spans="1:8" ht="12.75">
      <c r="A1740" s="46">
        <v>1</v>
      </c>
      <c r="B1740" s="46">
        <v>2</v>
      </c>
      <c r="C1740" s="46">
        <v>3</v>
      </c>
      <c r="D1740" s="90">
        <v>4</v>
      </c>
      <c r="E1740" s="90">
        <v>5</v>
      </c>
      <c r="F1740" s="90">
        <v>6</v>
      </c>
      <c r="G1740" s="91">
        <v>7</v>
      </c>
      <c r="H1740" s="59"/>
    </row>
    <row r="1741" spans="1:9" ht="12.75">
      <c r="A1741" s="5"/>
      <c r="B1741" s="5"/>
      <c r="C1741" s="5"/>
      <c r="D1741" s="116"/>
      <c r="E1741" s="116"/>
      <c r="F1741" s="116"/>
      <c r="G1741" s="5"/>
      <c r="H1741" s="16"/>
      <c r="I1741" s="14"/>
    </row>
    <row r="1742" spans="1:8" ht="15">
      <c r="A1742" s="18" t="s">
        <v>43</v>
      </c>
      <c r="B1742" s="72"/>
      <c r="C1742" s="5"/>
      <c r="D1742" s="116"/>
      <c r="E1742" s="116"/>
      <c r="F1742" s="116"/>
      <c r="G1742" s="92"/>
      <c r="H1742" s="177"/>
    </row>
    <row r="1743" spans="1:9" ht="12.75">
      <c r="A1743" s="41" t="s">
        <v>223</v>
      </c>
      <c r="B1743" s="157" t="s">
        <v>113</v>
      </c>
      <c r="C1743" s="139">
        <v>2417767</v>
      </c>
      <c r="D1743" s="93">
        <v>1250364</v>
      </c>
      <c r="E1743" s="88">
        <f aca="true" t="shared" si="44" ref="E1743:E1757">F1743-D1743</f>
        <v>1250364</v>
      </c>
      <c r="F1743" s="139">
        <v>2500728</v>
      </c>
      <c r="G1743" s="139">
        <v>2591988</v>
      </c>
      <c r="H1743" s="177"/>
      <c r="I1743" s="14"/>
    </row>
    <row r="1744" spans="1:8" ht="12.75">
      <c r="A1744" s="29" t="s">
        <v>100</v>
      </c>
      <c r="B1744" s="157" t="s">
        <v>114</v>
      </c>
      <c r="C1744" s="139">
        <v>192000</v>
      </c>
      <c r="D1744" s="93">
        <v>96000</v>
      </c>
      <c r="E1744" s="88">
        <f t="shared" si="44"/>
        <v>96000</v>
      </c>
      <c r="F1744" s="139">
        <v>192000</v>
      </c>
      <c r="G1744" s="139">
        <v>192000</v>
      </c>
      <c r="H1744" s="177"/>
    </row>
    <row r="1745" spans="1:8" ht="12.75">
      <c r="A1745" s="41" t="s">
        <v>42</v>
      </c>
      <c r="B1745" s="157" t="s">
        <v>115</v>
      </c>
      <c r="C1745" s="139">
        <v>76500</v>
      </c>
      <c r="D1745" s="93">
        <v>38250</v>
      </c>
      <c r="E1745" s="88">
        <f t="shared" si="44"/>
        <v>38250</v>
      </c>
      <c r="F1745" s="139">
        <v>76500</v>
      </c>
      <c r="G1745" s="139">
        <v>76500</v>
      </c>
      <c r="H1745" s="177"/>
    </row>
    <row r="1746" spans="1:8" ht="12.75">
      <c r="A1746" s="41" t="s">
        <v>3</v>
      </c>
      <c r="B1746" s="62" t="s">
        <v>159</v>
      </c>
      <c r="C1746" s="139">
        <v>76500</v>
      </c>
      <c r="D1746" s="93">
        <v>38250</v>
      </c>
      <c r="E1746" s="88">
        <f t="shared" si="44"/>
        <v>38250</v>
      </c>
      <c r="F1746" s="139">
        <v>76500</v>
      </c>
      <c r="G1746" s="139">
        <v>76500</v>
      </c>
      <c r="H1746" s="177"/>
    </row>
    <row r="1747" spans="1:8" ht="12.75">
      <c r="A1747" s="41" t="s">
        <v>18</v>
      </c>
      <c r="B1747" s="157" t="s">
        <v>116</v>
      </c>
      <c r="C1747" s="139">
        <v>48000</v>
      </c>
      <c r="D1747" s="93">
        <v>48000</v>
      </c>
      <c r="E1747" s="88">
        <f t="shared" si="44"/>
        <v>0</v>
      </c>
      <c r="F1747" s="139">
        <v>48000</v>
      </c>
      <c r="G1747" s="139">
        <v>48000</v>
      </c>
      <c r="H1747" s="177"/>
    </row>
    <row r="1748" spans="1:8" ht="12.75">
      <c r="A1748" s="41" t="s">
        <v>175</v>
      </c>
      <c r="B1748" s="58" t="s">
        <v>176</v>
      </c>
      <c r="C1748" s="77">
        <v>40000</v>
      </c>
      <c r="D1748" s="152">
        <v>0</v>
      </c>
      <c r="E1748" s="88">
        <f t="shared" si="44"/>
        <v>40000</v>
      </c>
      <c r="F1748" s="77">
        <v>40000</v>
      </c>
      <c r="G1748" s="77">
        <v>40000</v>
      </c>
      <c r="H1748" s="177"/>
    </row>
    <row r="1749" spans="1:8" ht="12.75">
      <c r="A1749" s="41" t="s">
        <v>27</v>
      </c>
      <c r="B1749" s="58" t="s">
        <v>117</v>
      </c>
      <c r="C1749" s="139">
        <v>40000</v>
      </c>
      <c r="D1749" s="93">
        <v>0</v>
      </c>
      <c r="E1749" s="88">
        <f t="shared" si="44"/>
        <v>40000</v>
      </c>
      <c r="F1749" s="139">
        <v>40000</v>
      </c>
      <c r="G1749" s="139">
        <v>40000</v>
      </c>
      <c r="H1749" s="177"/>
    </row>
    <row r="1750" spans="1:8" ht="12.75">
      <c r="A1750" s="41" t="s">
        <v>96</v>
      </c>
      <c r="B1750" s="58" t="s">
        <v>118</v>
      </c>
      <c r="C1750" s="77">
        <v>201544</v>
      </c>
      <c r="D1750" s="93">
        <v>0</v>
      </c>
      <c r="E1750" s="88">
        <f t="shared" si="44"/>
        <v>208394</v>
      </c>
      <c r="F1750" s="77">
        <f>F1743/12</f>
        <v>208394</v>
      </c>
      <c r="G1750" s="77">
        <f>G1743/12</f>
        <v>215999</v>
      </c>
      <c r="H1750" s="177"/>
    </row>
    <row r="1751" spans="1:8" ht="12.75">
      <c r="A1751" s="41" t="s">
        <v>173</v>
      </c>
      <c r="B1751" s="58" t="s">
        <v>174</v>
      </c>
      <c r="C1751" s="77">
        <v>201461</v>
      </c>
      <c r="D1751" s="64">
        <v>208394</v>
      </c>
      <c r="E1751" s="88">
        <f t="shared" si="44"/>
        <v>0</v>
      </c>
      <c r="F1751" s="77">
        <f>F1750</f>
        <v>208394</v>
      </c>
      <c r="G1751" s="77">
        <f>G1750</f>
        <v>215999</v>
      </c>
      <c r="H1751" s="177"/>
    </row>
    <row r="1752" spans="1:8" ht="12.75">
      <c r="A1752" s="41" t="s">
        <v>235</v>
      </c>
      <c r="B1752" s="58" t="s">
        <v>119</v>
      </c>
      <c r="C1752" s="139">
        <v>290132.04</v>
      </c>
      <c r="D1752" s="93">
        <v>150043.68</v>
      </c>
      <c r="E1752" s="88">
        <f t="shared" si="44"/>
        <v>150043.68</v>
      </c>
      <c r="F1752" s="139">
        <f>F1743*12%</f>
        <v>300087.36</v>
      </c>
      <c r="G1752" s="139">
        <f>G1743*12%</f>
        <v>311038.56</v>
      </c>
      <c r="H1752" s="177"/>
    </row>
    <row r="1753" spans="1:8" ht="12.75">
      <c r="A1753" s="41" t="s">
        <v>28</v>
      </c>
      <c r="B1753" s="58" t="s">
        <v>120</v>
      </c>
      <c r="C1753" s="139">
        <v>9600</v>
      </c>
      <c r="D1753" s="93">
        <v>4800</v>
      </c>
      <c r="E1753" s="88">
        <f t="shared" si="44"/>
        <v>4800</v>
      </c>
      <c r="F1753" s="139">
        <v>9600</v>
      </c>
      <c r="G1753" s="139">
        <v>9600</v>
      </c>
      <c r="H1753" s="59"/>
    </row>
    <row r="1754" spans="1:8" ht="12.75">
      <c r="A1754" s="41" t="s">
        <v>69</v>
      </c>
      <c r="B1754" s="58" t="s">
        <v>121</v>
      </c>
      <c r="C1754" s="139">
        <v>32196.14</v>
      </c>
      <c r="D1754" s="93">
        <v>17902.85</v>
      </c>
      <c r="E1754" s="88">
        <f t="shared" si="44"/>
        <v>31111.630000000005</v>
      </c>
      <c r="F1754" s="139">
        <v>49014.48</v>
      </c>
      <c r="G1754" s="139">
        <v>58319.73</v>
      </c>
      <c r="H1754" s="59"/>
    </row>
    <row r="1755" spans="1:9" ht="12.75">
      <c r="A1755" s="41" t="s">
        <v>122</v>
      </c>
      <c r="B1755" s="58" t="s">
        <v>123</v>
      </c>
      <c r="C1755" s="139">
        <v>9600</v>
      </c>
      <c r="D1755" s="93">
        <v>4800</v>
      </c>
      <c r="E1755" s="88">
        <f t="shared" si="44"/>
        <v>4800</v>
      </c>
      <c r="F1755" s="139">
        <v>9600</v>
      </c>
      <c r="G1755" s="139">
        <v>9600</v>
      </c>
      <c r="H1755" s="178"/>
      <c r="I1755" s="51"/>
    </row>
    <row r="1756" spans="1:8" ht="12.75">
      <c r="A1756" s="41" t="s">
        <v>90</v>
      </c>
      <c r="B1756" s="58" t="s">
        <v>124</v>
      </c>
      <c r="C1756" s="139">
        <v>0</v>
      </c>
      <c r="D1756" s="93">
        <v>0</v>
      </c>
      <c r="E1756" s="88">
        <f t="shared" si="44"/>
        <v>0</v>
      </c>
      <c r="F1756" s="139">
        <v>0</v>
      </c>
      <c r="G1756" s="139">
        <v>0</v>
      </c>
      <c r="H1756" s="59"/>
    </row>
    <row r="1757" spans="1:8" ht="12.75">
      <c r="A1757" s="41" t="s">
        <v>99</v>
      </c>
      <c r="B1757" s="58" t="s">
        <v>125</v>
      </c>
      <c r="C1757" s="139">
        <v>68594.6</v>
      </c>
      <c r="D1757" s="93">
        <v>79219.16</v>
      </c>
      <c r="E1757" s="88">
        <f t="shared" si="44"/>
        <v>21211.539999999994</v>
      </c>
      <c r="F1757" s="139">
        <v>100430.7</v>
      </c>
      <c r="G1757" s="139">
        <f>G1750*10*0.0481927</f>
        <v>104095.750073</v>
      </c>
      <c r="H1757" s="59"/>
    </row>
    <row r="1758" spans="1:9" ht="12.75">
      <c r="A1758" s="18" t="s">
        <v>193</v>
      </c>
      <c r="B1758" s="273"/>
      <c r="C1758" s="8">
        <f>SUM(C1743:C1757)</f>
        <v>3703894.7800000003</v>
      </c>
      <c r="D1758" s="8">
        <f>SUM(D1743:D1757)</f>
        <v>1936023.69</v>
      </c>
      <c r="E1758" s="8">
        <f>SUM(E1743:E1757)</f>
        <v>1923224.85</v>
      </c>
      <c r="F1758" s="8">
        <f>SUM(F1743:F1757)</f>
        <v>3859248.54</v>
      </c>
      <c r="G1758" s="140">
        <f>SUM(G1743:G1757)</f>
        <v>3989640.040073</v>
      </c>
      <c r="H1758" s="59"/>
      <c r="I1758" s="14">
        <f>G1758</f>
        <v>3989640.040073</v>
      </c>
    </row>
    <row r="1759" spans="1:8" ht="12.75">
      <c r="A1759" s="278"/>
      <c r="B1759" s="42"/>
      <c r="C1759" s="8"/>
      <c r="D1759" s="8"/>
      <c r="E1759" s="8"/>
      <c r="F1759" s="8"/>
      <c r="G1759" s="140"/>
      <c r="H1759" s="59"/>
    </row>
    <row r="1760" spans="1:8" ht="12.75">
      <c r="A1760" s="197"/>
      <c r="B1760" s="103"/>
      <c r="C1760" s="198"/>
      <c r="D1760" s="198"/>
      <c r="E1760" s="198"/>
      <c r="F1760" s="198"/>
      <c r="G1760" s="345"/>
      <c r="H1760" s="59"/>
    </row>
    <row r="1761" spans="1:8" ht="12.75">
      <c r="A1761" s="199"/>
      <c r="B1761" s="104"/>
      <c r="C1761" s="16"/>
      <c r="D1761" s="16"/>
      <c r="E1761" s="16"/>
      <c r="F1761" s="16"/>
      <c r="G1761" s="176"/>
      <c r="H1761" s="59"/>
    </row>
    <row r="1762" spans="1:8" ht="12.75">
      <c r="A1762" s="199"/>
      <c r="B1762" s="104"/>
      <c r="C1762" s="16"/>
      <c r="D1762" s="16"/>
      <c r="E1762" s="16"/>
      <c r="F1762" s="16"/>
      <c r="G1762" s="176"/>
      <c r="H1762" s="59"/>
    </row>
    <row r="1763" spans="1:8" ht="12.75">
      <c r="A1763" s="199"/>
      <c r="B1763" s="104"/>
      <c r="C1763" s="16"/>
      <c r="D1763" s="16"/>
      <c r="E1763" s="16"/>
      <c r="F1763" s="16"/>
      <c r="G1763" s="176"/>
      <c r="H1763" s="59"/>
    </row>
    <row r="1764" spans="1:8" ht="8.25" customHeight="1">
      <c r="A1764" s="199"/>
      <c r="B1764" s="104"/>
      <c r="C1764" s="16"/>
      <c r="D1764" s="16"/>
      <c r="E1764" s="16"/>
      <c r="F1764" s="16"/>
      <c r="G1764" s="176"/>
      <c r="H1764" s="59"/>
    </row>
    <row r="1765" spans="1:13" ht="12.75">
      <c r="A1765" s="23"/>
      <c r="B1765" s="23"/>
      <c r="C1765" s="484" t="s">
        <v>79</v>
      </c>
      <c r="D1765" s="485" t="s">
        <v>166</v>
      </c>
      <c r="E1765" s="486"/>
      <c r="F1765" s="487"/>
      <c r="G1765" s="488" t="s">
        <v>73</v>
      </c>
      <c r="H1765" s="16"/>
      <c r="J1765" s="14"/>
      <c r="K1765" s="14"/>
      <c r="M1765" s="14"/>
    </row>
    <row r="1766" spans="1:13" ht="12.75">
      <c r="A1766" s="24" t="s">
        <v>167</v>
      </c>
      <c r="B1766" s="304" t="s">
        <v>241</v>
      </c>
      <c r="C1766" s="476"/>
      <c r="D1766" s="24" t="s">
        <v>168</v>
      </c>
      <c r="E1766" s="24" t="s">
        <v>169</v>
      </c>
      <c r="F1766" s="477" t="s">
        <v>23</v>
      </c>
      <c r="G1766" s="483"/>
      <c r="H1766" s="16"/>
      <c r="J1766" s="14"/>
      <c r="K1766" s="14"/>
      <c r="M1766" s="14"/>
    </row>
    <row r="1767" spans="1:13" ht="12.75">
      <c r="A1767" s="24"/>
      <c r="B1767" s="24"/>
      <c r="C1767" s="24" t="s">
        <v>53</v>
      </c>
      <c r="D1767" s="24" t="s">
        <v>53</v>
      </c>
      <c r="E1767" s="156" t="s">
        <v>86</v>
      </c>
      <c r="F1767" s="478"/>
      <c r="G1767" s="3" t="s">
        <v>54</v>
      </c>
      <c r="H1767" s="16"/>
      <c r="I1767" s="14"/>
      <c r="J1767" s="14"/>
      <c r="K1767" s="14"/>
      <c r="M1767" s="14"/>
    </row>
    <row r="1768" spans="1:13" ht="12.75">
      <c r="A1768" s="46">
        <v>1</v>
      </c>
      <c r="B1768" s="46">
        <v>2</v>
      </c>
      <c r="C1768" s="46">
        <v>3</v>
      </c>
      <c r="D1768" s="90">
        <v>4</v>
      </c>
      <c r="E1768" s="90">
        <v>5</v>
      </c>
      <c r="F1768" s="90">
        <v>6</v>
      </c>
      <c r="G1768" s="91">
        <v>7</v>
      </c>
      <c r="H1768" s="59"/>
      <c r="J1768" s="14"/>
      <c r="K1768" s="14"/>
      <c r="L1768" s="14"/>
      <c r="M1768" s="14"/>
    </row>
    <row r="1769" spans="1:13" ht="12.75">
      <c r="A1769" s="43" t="s">
        <v>178</v>
      </c>
      <c r="B1769" s="72"/>
      <c r="C1769" s="6"/>
      <c r="D1769" s="6"/>
      <c r="E1769" s="6"/>
      <c r="F1769" s="6"/>
      <c r="G1769" s="6"/>
      <c r="H1769" s="59"/>
      <c r="J1769" s="14"/>
      <c r="K1769" s="14"/>
      <c r="L1769" s="14"/>
      <c r="M1769" s="14"/>
    </row>
    <row r="1770" spans="1:13" ht="12.75">
      <c r="A1770" s="29" t="s">
        <v>191</v>
      </c>
      <c r="B1770" s="62" t="s">
        <v>126</v>
      </c>
      <c r="C1770" s="6">
        <v>60020</v>
      </c>
      <c r="D1770" s="93">
        <v>77361.56</v>
      </c>
      <c r="E1770" s="88">
        <f aca="true" t="shared" si="45" ref="E1770:E1785">F1770-D1770</f>
        <v>22638.440000000002</v>
      </c>
      <c r="F1770" s="6">
        <v>100000</v>
      </c>
      <c r="G1770" s="6">
        <v>130000</v>
      </c>
      <c r="H1770" s="59"/>
      <c r="J1770" s="14"/>
      <c r="K1770" s="14"/>
      <c r="L1770" s="14"/>
      <c r="M1770" s="14"/>
    </row>
    <row r="1771" spans="1:13" ht="12.75">
      <c r="A1771" s="41" t="s">
        <v>19</v>
      </c>
      <c r="B1771" s="62" t="s">
        <v>127</v>
      </c>
      <c r="C1771" s="6">
        <v>0</v>
      </c>
      <c r="D1771" s="93">
        <v>10815</v>
      </c>
      <c r="E1771" s="88">
        <f t="shared" si="45"/>
        <v>9185</v>
      </c>
      <c r="F1771" s="6">
        <v>20000</v>
      </c>
      <c r="G1771" s="6">
        <v>30000</v>
      </c>
      <c r="H1771" s="59"/>
      <c r="J1771" s="14"/>
      <c r="K1771" s="14"/>
      <c r="L1771" s="14"/>
      <c r="M1771" s="14"/>
    </row>
    <row r="1772" spans="1:13" ht="12.75">
      <c r="A1772" s="41" t="s">
        <v>2</v>
      </c>
      <c r="B1772" s="62" t="s">
        <v>128</v>
      </c>
      <c r="C1772" s="6">
        <v>41133.42</v>
      </c>
      <c r="D1772" s="93">
        <v>14068.3</v>
      </c>
      <c r="E1772" s="88">
        <f t="shared" si="45"/>
        <v>45931.7</v>
      </c>
      <c r="F1772" s="6">
        <v>60000</v>
      </c>
      <c r="G1772" s="6">
        <v>50000</v>
      </c>
      <c r="H1772" s="59"/>
      <c r="J1772" s="14"/>
      <c r="K1772" s="14"/>
      <c r="L1772" s="14"/>
      <c r="M1772" s="14"/>
    </row>
    <row r="1773" spans="1:13" ht="12.75">
      <c r="A1773" s="29" t="s">
        <v>63</v>
      </c>
      <c r="B1773" s="62" t="s">
        <v>131</v>
      </c>
      <c r="C1773" s="6">
        <v>0</v>
      </c>
      <c r="D1773" s="93">
        <v>0</v>
      </c>
      <c r="E1773" s="88">
        <f t="shared" si="45"/>
        <v>2000</v>
      </c>
      <c r="F1773" s="6">
        <v>2000</v>
      </c>
      <c r="G1773" s="6">
        <v>2000</v>
      </c>
      <c r="H1773" s="16"/>
      <c r="J1773" s="14"/>
      <c r="K1773" s="14"/>
      <c r="L1773" s="14"/>
      <c r="M1773" s="14"/>
    </row>
    <row r="1774" spans="1:8" ht="12.75">
      <c r="A1774" s="29" t="s">
        <v>47</v>
      </c>
      <c r="B1774" s="62" t="s">
        <v>135</v>
      </c>
      <c r="C1774" s="6">
        <v>0</v>
      </c>
      <c r="D1774" s="93">
        <v>0</v>
      </c>
      <c r="E1774" s="88">
        <f t="shared" si="45"/>
        <v>0</v>
      </c>
      <c r="F1774" s="6">
        <v>0</v>
      </c>
      <c r="G1774" s="6">
        <v>0</v>
      </c>
      <c r="H1774" s="133"/>
    </row>
    <row r="1775" spans="1:13" ht="12.75">
      <c r="A1775" s="29" t="s">
        <v>15</v>
      </c>
      <c r="B1775" s="62" t="s">
        <v>135</v>
      </c>
      <c r="C1775" s="6">
        <v>84000</v>
      </c>
      <c r="D1775" s="6">
        <v>42000</v>
      </c>
      <c r="E1775" s="88">
        <f t="shared" si="45"/>
        <v>42000</v>
      </c>
      <c r="F1775" s="6">
        <v>84000</v>
      </c>
      <c r="G1775" s="6">
        <v>84000</v>
      </c>
      <c r="H1775" s="16"/>
      <c r="L1775" s="14"/>
      <c r="M1775" s="14"/>
    </row>
    <row r="1776" spans="1:8" ht="12.75">
      <c r="A1776" s="41" t="s">
        <v>45</v>
      </c>
      <c r="B1776" s="94" t="s">
        <v>136</v>
      </c>
      <c r="C1776" s="6">
        <v>24000</v>
      </c>
      <c r="D1776" s="6">
        <v>12000</v>
      </c>
      <c r="E1776" s="88">
        <f t="shared" si="45"/>
        <v>12000</v>
      </c>
      <c r="F1776" s="6">
        <v>24000</v>
      </c>
      <c r="G1776" s="6">
        <v>24000</v>
      </c>
      <c r="H1776" s="59"/>
    </row>
    <row r="1777" spans="1:13" ht="12.75">
      <c r="A1777" s="29" t="s">
        <v>81</v>
      </c>
      <c r="B1777" s="62" t="s">
        <v>137</v>
      </c>
      <c r="C1777" s="60">
        <v>0</v>
      </c>
      <c r="D1777" s="6">
        <v>0</v>
      </c>
      <c r="E1777" s="88">
        <f t="shared" si="45"/>
        <v>0</v>
      </c>
      <c r="F1777" s="60">
        <v>0</v>
      </c>
      <c r="G1777" s="60">
        <v>0</v>
      </c>
      <c r="H1777" s="2"/>
      <c r="M1777" s="14"/>
    </row>
    <row r="1778" spans="1:8" ht="12.75">
      <c r="A1778" s="41" t="s">
        <v>29</v>
      </c>
      <c r="B1778" s="63" t="s">
        <v>213</v>
      </c>
      <c r="C1778" s="6">
        <v>0</v>
      </c>
      <c r="D1778" s="6">
        <v>0</v>
      </c>
      <c r="E1778" s="88">
        <f t="shared" si="45"/>
        <v>20000</v>
      </c>
      <c r="F1778" s="6">
        <v>20000</v>
      </c>
      <c r="G1778" s="6">
        <v>0</v>
      </c>
      <c r="H1778" s="2"/>
    </row>
    <row r="1779" spans="1:8" ht="12.75">
      <c r="A1779" s="41" t="s">
        <v>109</v>
      </c>
      <c r="B1779" s="127" t="s">
        <v>141</v>
      </c>
      <c r="C1779" s="6">
        <v>0</v>
      </c>
      <c r="D1779" s="6">
        <v>0</v>
      </c>
      <c r="E1779" s="88">
        <f t="shared" si="45"/>
        <v>0</v>
      </c>
      <c r="F1779" s="6">
        <v>0</v>
      </c>
      <c r="G1779" s="6">
        <v>0</v>
      </c>
      <c r="H1779" s="2"/>
    </row>
    <row r="1780" spans="1:13" ht="12.75">
      <c r="A1780" s="29" t="s">
        <v>251</v>
      </c>
      <c r="B1780" s="62" t="s">
        <v>252</v>
      </c>
      <c r="C1780" s="283">
        <v>73500</v>
      </c>
      <c r="D1780" s="152">
        <v>30300</v>
      </c>
      <c r="E1780" s="152">
        <f t="shared" si="45"/>
        <v>48900</v>
      </c>
      <c r="F1780" s="283">
        <v>79200</v>
      </c>
      <c r="G1780" s="283">
        <v>79200</v>
      </c>
      <c r="H1780" s="2"/>
      <c r="L1780" s="14"/>
      <c r="M1780" s="14"/>
    </row>
    <row r="1781" spans="1:8" ht="12.75">
      <c r="A1781" s="29" t="s">
        <v>253</v>
      </c>
      <c r="B1781" s="62" t="s">
        <v>254</v>
      </c>
      <c r="C1781" s="283">
        <v>411350</v>
      </c>
      <c r="D1781" s="152">
        <v>212100</v>
      </c>
      <c r="E1781" s="152">
        <f t="shared" si="45"/>
        <v>540300</v>
      </c>
      <c r="F1781" s="283">
        <f>541200+44610+166590</f>
        <v>752400</v>
      </c>
      <c r="G1781" s="283">
        <v>739200</v>
      </c>
      <c r="H1781" s="2"/>
    </row>
    <row r="1782" spans="1:8" ht="12.75">
      <c r="A1782" s="105" t="s">
        <v>214</v>
      </c>
      <c r="B1782" s="94" t="s">
        <v>145</v>
      </c>
      <c r="C1782" s="6">
        <v>0</v>
      </c>
      <c r="D1782" s="6">
        <v>0</v>
      </c>
      <c r="E1782" s="88">
        <f t="shared" si="45"/>
        <v>0</v>
      </c>
      <c r="F1782" s="6">
        <v>0</v>
      </c>
      <c r="G1782" s="6">
        <v>0</v>
      </c>
      <c r="H1782" s="2"/>
    </row>
    <row r="1783" spans="1:8" ht="12.75">
      <c r="A1783" s="29" t="s">
        <v>146</v>
      </c>
      <c r="B1783" s="62" t="s">
        <v>147</v>
      </c>
      <c r="C1783" s="6">
        <v>0</v>
      </c>
      <c r="D1783" s="6">
        <v>0</v>
      </c>
      <c r="E1783" s="88">
        <f t="shared" si="45"/>
        <v>10000</v>
      </c>
      <c r="F1783" s="139">
        <v>10000</v>
      </c>
      <c r="G1783" s="139">
        <v>10000</v>
      </c>
      <c r="H1783" s="2"/>
    </row>
    <row r="1784" spans="1:8" ht="12.75">
      <c r="A1784" s="29" t="s">
        <v>270</v>
      </c>
      <c r="B1784" s="62" t="s">
        <v>271</v>
      </c>
      <c r="C1784" s="88">
        <v>0</v>
      </c>
      <c r="D1784" s="93">
        <v>0</v>
      </c>
      <c r="E1784" s="88">
        <f t="shared" si="45"/>
        <v>10000</v>
      </c>
      <c r="F1784" s="88">
        <v>10000</v>
      </c>
      <c r="G1784" s="88">
        <v>10000</v>
      </c>
      <c r="H1784" s="2"/>
    </row>
    <row r="1785" spans="1:14" ht="12.75">
      <c r="A1785" s="41" t="s">
        <v>58</v>
      </c>
      <c r="B1785" s="63" t="s">
        <v>153</v>
      </c>
      <c r="C1785" s="6">
        <v>0</v>
      </c>
      <c r="D1785" s="6">
        <v>0</v>
      </c>
      <c r="E1785" s="88">
        <f t="shared" si="45"/>
        <v>0</v>
      </c>
      <c r="F1785" s="6">
        <v>0</v>
      </c>
      <c r="G1785" s="6">
        <v>0</v>
      </c>
      <c r="H1785" s="2"/>
      <c r="N1785" s="15"/>
    </row>
    <row r="1786" spans="1:14" ht="8.25" customHeight="1">
      <c r="A1786" s="42"/>
      <c r="B1786" s="42"/>
      <c r="C1786" s="8"/>
      <c r="D1786" s="8"/>
      <c r="E1786" s="8"/>
      <c r="F1786" s="8"/>
      <c r="G1786" s="8"/>
      <c r="H1786" s="2"/>
      <c r="N1786" s="14"/>
    </row>
    <row r="1787" spans="1:14" ht="12.75">
      <c r="A1787" s="43" t="s">
        <v>192</v>
      </c>
      <c r="B1787" s="7"/>
      <c r="C1787" s="8">
        <f>SUM(C1769:C1785)</f>
        <v>694003.4199999999</v>
      </c>
      <c r="D1787" s="8">
        <f>SUM(D1769:D1785)</f>
        <v>398644.86</v>
      </c>
      <c r="E1787" s="8">
        <f>SUM(E1769:E1785)</f>
        <v>762955.14</v>
      </c>
      <c r="F1787" s="8">
        <f>SUM(F1769:F1785)</f>
        <v>1161600</v>
      </c>
      <c r="G1787" s="8">
        <f>SUM(G1769:G1785)</f>
        <v>1158400</v>
      </c>
      <c r="H1787" s="2"/>
      <c r="J1787" s="14">
        <f>G1787</f>
        <v>1158400</v>
      </c>
      <c r="K1787" s="14"/>
      <c r="N1787" s="14"/>
    </row>
    <row r="1788" spans="1:14" ht="12.75">
      <c r="A1788" s="43" t="s">
        <v>33</v>
      </c>
      <c r="B1788" s="5"/>
      <c r="C1788" s="6"/>
      <c r="D1788" s="6"/>
      <c r="E1788" s="6"/>
      <c r="F1788" s="6"/>
      <c r="G1788" s="6"/>
      <c r="H1788" s="2"/>
      <c r="N1788" s="14"/>
    </row>
    <row r="1789" spans="1:14" ht="12.75">
      <c r="A1789" s="28" t="s">
        <v>346</v>
      </c>
      <c r="B1789" s="39" t="s">
        <v>233</v>
      </c>
      <c r="C1789" s="119">
        <v>0</v>
      </c>
      <c r="D1789" s="119">
        <v>0</v>
      </c>
      <c r="E1789" s="88">
        <f>F1789-D1789</f>
        <v>0</v>
      </c>
      <c r="F1789" s="119">
        <v>0</v>
      </c>
      <c r="G1789" s="119">
        <v>0</v>
      </c>
      <c r="H1789" s="2"/>
      <c r="N1789" s="45"/>
    </row>
    <row r="1790" spans="1:13" ht="12.75">
      <c r="A1790" s="28" t="s">
        <v>26</v>
      </c>
      <c r="B1790" s="39" t="s">
        <v>155</v>
      </c>
      <c r="C1790" s="6">
        <v>98445</v>
      </c>
      <c r="D1790" s="6">
        <v>0</v>
      </c>
      <c r="E1790" s="88">
        <f>F1790-D1790</f>
        <v>14900</v>
      </c>
      <c r="F1790" s="6">
        <f>5000+4500+5400</f>
        <v>14900</v>
      </c>
      <c r="G1790" s="6">
        <v>0</v>
      </c>
      <c r="H1790" s="2"/>
      <c r="M1790" s="14"/>
    </row>
    <row r="1791" spans="1:8" ht="12.75">
      <c r="A1791" s="33" t="s">
        <v>31</v>
      </c>
      <c r="B1791" s="63" t="s">
        <v>156</v>
      </c>
      <c r="C1791" s="6">
        <v>0</v>
      </c>
      <c r="D1791" s="6">
        <v>35290</v>
      </c>
      <c r="E1791" s="88">
        <f>F1791-D1791</f>
        <v>0</v>
      </c>
      <c r="F1791" s="6">
        <f>23290+12000</f>
        <v>35290</v>
      </c>
      <c r="G1791" s="6">
        <v>0</v>
      </c>
      <c r="H1791" s="2"/>
    </row>
    <row r="1792" spans="1:7" ht="12.75">
      <c r="A1792" s="28" t="s">
        <v>92</v>
      </c>
      <c r="B1792" s="39" t="s">
        <v>157</v>
      </c>
      <c r="C1792" s="6">
        <v>0</v>
      </c>
      <c r="D1792" s="6">
        <v>60000</v>
      </c>
      <c r="E1792" s="88">
        <f>F1792-D1792</f>
        <v>0</v>
      </c>
      <c r="F1792" s="6">
        <v>60000</v>
      </c>
      <c r="G1792" s="6">
        <v>60000</v>
      </c>
    </row>
    <row r="1793" spans="1:7" ht="12.75">
      <c r="A1793" s="28" t="s">
        <v>275</v>
      </c>
      <c r="B1793" s="205"/>
      <c r="C1793" s="6">
        <v>0</v>
      </c>
      <c r="D1793" s="6">
        <v>0</v>
      </c>
      <c r="E1793" s="88">
        <f>F1793-D1793</f>
        <v>0</v>
      </c>
      <c r="F1793" s="6">
        <v>0</v>
      </c>
      <c r="G1793" s="6">
        <v>0</v>
      </c>
    </row>
    <row r="1794" spans="1:7" ht="12.75">
      <c r="A1794" s="33"/>
      <c r="B1794" s="205"/>
      <c r="C1794" s="6"/>
      <c r="D1794" s="6"/>
      <c r="E1794" s="59"/>
      <c r="F1794" s="6"/>
      <c r="G1794" s="6"/>
    </row>
    <row r="1795" spans="1:12" ht="12.75">
      <c r="A1795" s="42" t="s">
        <v>56</v>
      </c>
      <c r="B1795" s="7"/>
      <c r="C1795" s="8">
        <f>SUM(C1789:C1794)</f>
        <v>98445</v>
      </c>
      <c r="D1795" s="8">
        <f>SUM(D1789:D1794)</f>
        <v>95290</v>
      </c>
      <c r="E1795" s="8">
        <f>SUM(E1789:E1794)</f>
        <v>14900</v>
      </c>
      <c r="F1795" s="8">
        <f>SUM(F1789:F1794)</f>
        <v>110190</v>
      </c>
      <c r="G1795" s="8">
        <f>SUM(G1789:G1794)</f>
        <v>60000</v>
      </c>
      <c r="J1795" s="14"/>
      <c r="K1795" s="14"/>
      <c r="L1795" s="14"/>
    </row>
    <row r="1796" spans="1:7" ht="6.75" customHeight="1">
      <c r="A1796" s="5"/>
      <c r="B1796" s="5"/>
      <c r="C1796" s="6"/>
      <c r="D1796" s="6"/>
      <c r="E1796" s="6"/>
      <c r="F1796" s="6"/>
      <c r="G1796" s="123"/>
    </row>
    <row r="1797" spans="1:8" ht="12.75">
      <c r="A1797" s="7" t="s">
        <v>34</v>
      </c>
      <c r="B1797" s="7"/>
      <c r="C1797" s="8">
        <f>C1758+C1787+C1795</f>
        <v>4496343.2</v>
      </c>
      <c r="D1797" s="8">
        <f>D1758+D1787+D1795</f>
        <v>2429958.55</v>
      </c>
      <c r="E1797" s="8">
        <f>E1758+E1787+E1795</f>
        <v>2701079.99</v>
      </c>
      <c r="F1797" s="8">
        <f>F1758+F1787+F1795</f>
        <v>5131038.54</v>
      </c>
      <c r="G1797" s="8">
        <f>G1758+G1787+G1795</f>
        <v>5208040.040073</v>
      </c>
      <c r="H1797" s="14"/>
    </row>
    <row r="1798" spans="1:7" ht="8.25" customHeight="1">
      <c r="A1798" s="4"/>
      <c r="B1798" s="4"/>
      <c r="C1798" s="10"/>
      <c r="D1798" s="10"/>
      <c r="E1798" s="10"/>
      <c r="F1798" s="10"/>
      <c r="G1798" s="10"/>
    </row>
    <row r="1799" spans="1:7" ht="12.75">
      <c r="A1799" s="2"/>
      <c r="B1799" s="2"/>
      <c r="C1799" s="2"/>
      <c r="D1799" s="2"/>
      <c r="E1799" s="2"/>
      <c r="F1799" s="59"/>
      <c r="G1799" s="175"/>
    </row>
    <row r="1800" spans="1:7" ht="12.75">
      <c r="A1800" s="2" t="s">
        <v>185</v>
      </c>
      <c r="B1800" s="2" t="s">
        <v>186</v>
      </c>
      <c r="C1800" s="2"/>
      <c r="D1800" s="2"/>
      <c r="E1800" s="161" t="s">
        <v>170</v>
      </c>
      <c r="F1800" s="2"/>
      <c r="G1800" s="175"/>
    </row>
    <row r="1801" spans="1:7" ht="12.75">
      <c r="A1801" s="2"/>
      <c r="B1801" s="2"/>
      <c r="C1801" s="2"/>
      <c r="D1801" s="2"/>
      <c r="E1801" s="161"/>
      <c r="F1801" s="2"/>
      <c r="G1801" s="175"/>
    </row>
    <row r="1802" spans="1:7" ht="12.75">
      <c r="A1802" s="2"/>
      <c r="B1802" s="2"/>
      <c r="C1802" s="2"/>
      <c r="D1802" s="2"/>
      <c r="E1802" s="161"/>
      <c r="F1802" s="2"/>
      <c r="G1802" s="59"/>
    </row>
    <row r="1803" spans="1:7" ht="12.75">
      <c r="A1803" s="22" t="s">
        <v>198</v>
      </c>
      <c r="B1803" s="22" t="s">
        <v>277</v>
      </c>
      <c r="C1803" s="22"/>
      <c r="D1803" s="22"/>
      <c r="E1803" s="162" t="s">
        <v>161</v>
      </c>
      <c r="F1803" s="22"/>
      <c r="G1803" s="2"/>
    </row>
    <row r="1804" spans="1:7" ht="12.75">
      <c r="A1804" s="2" t="s">
        <v>199</v>
      </c>
      <c r="B1804" s="2" t="s">
        <v>373</v>
      </c>
      <c r="C1804" s="2"/>
      <c r="D1804" s="2"/>
      <c r="E1804" s="161" t="s">
        <v>25</v>
      </c>
      <c r="F1804" s="22"/>
      <c r="G1804" s="2"/>
    </row>
    <row r="1805" spans="1:7" ht="12.75">
      <c r="A1805" s="2"/>
      <c r="B1805" s="2"/>
      <c r="C1805" s="2"/>
      <c r="D1805" s="2"/>
      <c r="E1805" s="2"/>
      <c r="F1805" s="2"/>
      <c r="G1805" s="2"/>
    </row>
    <row r="1806" spans="1:7" ht="12.75">
      <c r="A1806" s="19" t="s">
        <v>208</v>
      </c>
      <c r="B1806" s="2"/>
      <c r="C1806" s="2"/>
      <c r="D1806" s="2"/>
      <c r="E1806" s="2"/>
      <c r="F1806" s="2"/>
      <c r="G1806" s="2"/>
    </row>
    <row r="1807" spans="1:7" ht="12.75">
      <c r="A1807" s="19"/>
      <c r="B1807" s="2"/>
      <c r="C1807" s="2"/>
      <c r="D1807" s="2"/>
      <c r="E1807" s="2"/>
      <c r="F1807" s="2"/>
      <c r="G1807" s="2"/>
    </row>
    <row r="1808" spans="1:7" ht="12.75">
      <c r="A1808" s="2"/>
      <c r="B1808" s="2"/>
      <c r="C1808" s="2"/>
      <c r="D1808" s="2"/>
      <c r="E1808" s="2"/>
      <c r="F1808" s="2"/>
      <c r="G1808" s="2"/>
    </row>
    <row r="1809" spans="1:7" ht="15">
      <c r="A1809" s="474" t="s">
        <v>165</v>
      </c>
      <c r="B1809" s="474"/>
      <c r="C1809" s="474"/>
      <c r="D1809" s="474"/>
      <c r="E1809" s="474"/>
      <c r="F1809" s="474"/>
      <c r="G1809" s="474"/>
    </row>
    <row r="1810" spans="1:7" ht="15">
      <c r="A1810" s="474" t="s">
        <v>172</v>
      </c>
      <c r="B1810" s="474"/>
      <c r="C1810" s="474"/>
      <c r="D1810" s="474"/>
      <c r="E1810" s="474"/>
      <c r="F1810" s="474"/>
      <c r="G1810" s="474"/>
    </row>
    <row r="1811" spans="1:7" ht="12.75">
      <c r="A1811" s="54"/>
      <c r="B1811" s="54"/>
      <c r="C1811" s="54"/>
      <c r="D1811" s="54"/>
      <c r="E1811" s="54"/>
      <c r="F1811" s="54"/>
      <c r="G1811" s="54"/>
    </row>
    <row r="1812" spans="1:7" ht="12.75">
      <c r="A1812" s="54"/>
      <c r="B1812" s="54"/>
      <c r="C1812" s="54"/>
      <c r="D1812" s="54"/>
      <c r="E1812" s="54"/>
      <c r="F1812" s="54"/>
      <c r="G1812" s="54"/>
    </row>
    <row r="1813" spans="1:7" ht="12.75">
      <c r="A1813" s="21" t="s">
        <v>52</v>
      </c>
      <c r="B1813" s="21" t="s">
        <v>20</v>
      </c>
      <c r="C1813" s="21"/>
      <c r="D1813" s="21"/>
      <c r="E1813" s="21"/>
      <c r="F1813" s="2"/>
      <c r="G1813" s="2"/>
    </row>
    <row r="1814" spans="1:7" ht="12.75">
      <c r="A1814" s="22"/>
      <c r="B1814" s="21"/>
      <c r="C1814" s="21"/>
      <c r="D1814" s="21"/>
      <c r="E1814" s="21"/>
      <c r="F1814" s="2"/>
      <c r="G1814" s="2"/>
    </row>
    <row r="1815" spans="1:7" ht="12.75">
      <c r="A1815" s="22"/>
      <c r="B1815" s="21"/>
      <c r="C1815" s="21"/>
      <c r="D1815" s="21"/>
      <c r="E1815" s="21"/>
      <c r="F1815" s="2"/>
      <c r="G1815" s="2"/>
    </row>
    <row r="1816" spans="1:7" ht="12.75">
      <c r="A1816" s="23"/>
      <c r="B1816" s="23"/>
      <c r="C1816" s="475" t="s">
        <v>79</v>
      </c>
      <c r="D1816" s="479" t="s">
        <v>166</v>
      </c>
      <c r="E1816" s="480"/>
      <c r="F1816" s="481"/>
      <c r="G1816" s="482" t="s">
        <v>73</v>
      </c>
    </row>
    <row r="1817" spans="1:7" ht="12.75">
      <c r="A1817" s="24" t="s">
        <v>167</v>
      </c>
      <c r="B1817" s="304" t="s">
        <v>241</v>
      </c>
      <c r="C1817" s="476"/>
      <c r="D1817" s="24" t="s">
        <v>168</v>
      </c>
      <c r="E1817" s="24" t="s">
        <v>169</v>
      </c>
      <c r="F1817" s="477" t="s">
        <v>23</v>
      </c>
      <c r="G1817" s="483"/>
    </row>
    <row r="1818" spans="1:7" ht="12.75">
      <c r="A1818" s="24"/>
      <c r="B1818" s="24"/>
      <c r="C1818" s="24" t="s">
        <v>53</v>
      </c>
      <c r="D1818" s="24" t="s">
        <v>53</v>
      </c>
      <c r="E1818" s="156" t="s">
        <v>86</v>
      </c>
      <c r="F1818" s="478"/>
      <c r="G1818" s="3" t="s">
        <v>54</v>
      </c>
    </row>
    <row r="1819" spans="1:13" ht="12.75">
      <c r="A1819" s="46">
        <v>1</v>
      </c>
      <c r="B1819" s="46">
        <v>2</v>
      </c>
      <c r="C1819" s="46">
        <v>3</v>
      </c>
      <c r="D1819" s="90">
        <v>4</v>
      </c>
      <c r="E1819" s="90">
        <v>5</v>
      </c>
      <c r="F1819" s="90">
        <v>6</v>
      </c>
      <c r="G1819" s="91">
        <v>7</v>
      </c>
      <c r="M1819" s="20"/>
    </row>
    <row r="1820" spans="1:13" ht="12.75">
      <c r="A1820" s="5"/>
      <c r="B1820" s="5"/>
      <c r="C1820" s="5"/>
      <c r="D1820" s="116"/>
      <c r="E1820" s="116"/>
      <c r="F1820" s="116"/>
      <c r="G1820" s="5"/>
      <c r="M1820" s="20"/>
    </row>
    <row r="1821" spans="1:8" ht="15">
      <c r="A1821" s="18" t="s">
        <v>43</v>
      </c>
      <c r="B1821" s="72"/>
      <c r="C1821" s="5"/>
      <c r="D1821" s="116"/>
      <c r="E1821" s="116"/>
      <c r="F1821" s="116"/>
      <c r="G1821" s="92"/>
      <c r="H1821" s="2"/>
    </row>
    <row r="1822" spans="1:13" ht="12.75">
      <c r="A1822" s="41" t="s">
        <v>223</v>
      </c>
      <c r="B1822" s="157" t="s">
        <v>113</v>
      </c>
      <c r="C1822" s="6">
        <v>1011573.5</v>
      </c>
      <c r="D1822" s="93">
        <v>512618</v>
      </c>
      <c r="E1822" s="88">
        <f aca="true" t="shared" si="46" ref="E1822:E1835">F1822-D1822</f>
        <v>569998</v>
      </c>
      <c r="F1822" s="6">
        <v>1082616</v>
      </c>
      <c r="G1822" s="6">
        <v>1129128</v>
      </c>
      <c r="H1822" s="59"/>
      <c r="M1822" s="15"/>
    </row>
    <row r="1823" spans="1:13" ht="12.75">
      <c r="A1823" s="41" t="s">
        <v>204</v>
      </c>
      <c r="B1823" s="157" t="s">
        <v>114</v>
      </c>
      <c r="C1823" s="6">
        <v>2332212</v>
      </c>
      <c r="D1823" s="93">
        <v>1159651</v>
      </c>
      <c r="E1823" s="88">
        <f t="shared" si="46"/>
        <v>1266041</v>
      </c>
      <c r="F1823" s="6">
        <v>2425692</v>
      </c>
      <c r="G1823" s="6">
        <v>2519400</v>
      </c>
      <c r="H1823" s="59"/>
      <c r="M1823" s="15" t="s">
        <v>23</v>
      </c>
    </row>
    <row r="1824" spans="1:13" ht="12.75">
      <c r="A1824" s="29" t="s">
        <v>100</v>
      </c>
      <c r="B1824" s="157" t="s">
        <v>114</v>
      </c>
      <c r="C1824" s="6">
        <v>592000</v>
      </c>
      <c r="D1824" s="93">
        <v>286000</v>
      </c>
      <c r="E1824" s="88">
        <f t="shared" si="46"/>
        <v>314000</v>
      </c>
      <c r="F1824" s="6">
        <v>600000</v>
      </c>
      <c r="G1824" s="6">
        <v>600000</v>
      </c>
      <c r="H1824" s="15"/>
      <c r="I1824" s="15"/>
      <c r="J1824" s="15"/>
      <c r="K1824" s="15"/>
      <c r="L1824" s="15"/>
      <c r="M1824" s="52"/>
    </row>
    <row r="1825" spans="1:13" ht="12.75">
      <c r="A1825" s="41" t="s">
        <v>18</v>
      </c>
      <c r="B1825" s="157" t="s">
        <v>116</v>
      </c>
      <c r="C1825" s="6">
        <v>30000</v>
      </c>
      <c r="D1825" s="93">
        <v>150000</v>
      </c>
      <c r="E1825" s="88">
        <f t="shared" si="46"/>
        <v>0</v>
      </c>
      <c r="F1825" s="6">
        <f>36000+114000</f>
        <v>150000</v>
      </c>
      <c r="G1825" s="6">
        <f>36000+114000</f>
        <v>150000</v>
      </c>
      <c r="H1825" s="14"/>
      <c r="I1825" s="14"/>
      <c r="J1825" s="14"/>
      <c r="K1825" s="14"/>
      <c r="L1825" s="14"/>
      <c r="M1825" s="15"/>
    </row>
    <row r="1826" spans="1:13" ht="12.75">
      <c r="A1826" s="41" t="s">
        <v>175</v>
      </c>
      <c r="B1826" s="157" t="s">
        <v>176</v>
      </c>
      <c r="C1826" s="64">
        <v>125000</v>
      </c>
      <c r="D1826" s="152">
        <v>0</v>
      </c>
      <c r="E1826" s="88">
        <f t="shared" si="46"/>
        <v>125000</v>
      </c>
      <c r="F1826" s="64">
        <v>125000</v>
      </c>
      <c r="G1826" s="64">
        <v>125000</v>
      </c>
      <c r="I1826" s="14"/>
      <c r="J1826" s="15"/>
      <c r="K1826" s="15"/>
      <c r="L1826" s="15"/>
      <c r="M1826" s="15"/>
    </row>
    <row r="1827" spans="1:13" ht="12.75">
      <c r="A1827" s="41" t="s">
        <v>27</v>
      </c>
      <c r="B1827" s="157" t="s">
        <v>117</v>
      </c>
      <c r="C1827" s="6">
        <v>125000</v>
      </c>
      <c r="D1827" s="93">
        <v>0</v>
      </c>
      <c r="E1827" s="88">
        <f t="shared" si="46"/>
        <v>125000</v>
      </c>
      <c r="F1827" s="6">
        <v>125000</v>
      </c>
      <c r="G1827" s="6">
        <v>125000</v>
      </c>
      <c r="I1827" s="14"/>
      <c r="J1827" s="15"/>
      <c r="K1827" s="15"/>
      <c r="L1827" s="15"/>
      <c r="M1827" s="15"/>
    </row>
    <row r="1828" spans="1:13" ht="12.75">
      <c r="A1828" s="41" t="s">
        <v>96</v>
      </c>
      <c r="B1828" s="157" t="s">
        <v>118</v>
      </c>
      <c r="C1828" s="6">
        <v>280812</v>
      </c>
      <c r="D1828" s="93">
        <v>0</v>
      </c>
      <c r="E1828" s="88">
        <f t="shared" si="46"/>
        <v>292359</v>
      </c>
      <c r="F1828" s="6">
        <f>(F1822+F1823)/12</f>
        <v>292359</v>
      </c>
      <c r="G1828" s="6">
        <f>(G1822+G1823)/12</f>
        <v>304044</v>
      </c>
      <c r="I1828" s="14"/>
      <c r="J1828" s="15"/>
      <c r="K1828" s="15"/>
      <c r="L1828" s="15"/>
      <c r="M1828" s="15"/>
    </row>
    <row r="1829" spans="1:13" ht="12.75">
      <c r="A1829" s="41" t="s">
        <v>173</v>
      </c>
      <c r="B1829" s="157" t="s">
        <v>174</v>
      </c>
      <c r="C1829" s="6">
        <v>280812</v>
      </c>
      <c r="D1829" s="64">
        <v>256736</v>
      </c>
      <c r="E1829" s="88">
        <f t="shared" si="46"/>
        <v>35623</v>
      </c>
      <c r="F1829" s="6">
        <f>F1828</f>
        <v>292359</v>
      </c>
      <c r="G1829" s="6">
        <f>G1828</f>
        <v>304044</v>
      </c>
      <c r="I1829" s="14"/>
      <c r="J1829" s="14"/>
      <c r="K1829" s="14"/>
      <c r="L1829" s="14"/>
      <c r="M1829" s="15"/>
    </row>
    <row r="1830" spans="1:13" ht="12.75">
      <c r="A1830" s="41" t="s">
        <v>232</v>
      </c>
      <c r="B1830" s="157" t="s">
        <v>119</v>
      </c>
      <c r="C1830" s="6">
        <v>395494.26</v>
      </c>
      <c r="D1830" s="93">
        <v>200672.28</v>
      </c>
      <c r="E1830" s="88">
        <f t="shared" si="46"/>
        <v>220324.67999999996</v>
      </c>
      <c r="F1830" s="6">
        <f>(F1822+F1823)*12%</f>
        <v>420996.95999999996</v>
      </c>
      <c r="G1830" s="6">
        <f>(G1822+G1823)*12%</f>
        <v>437823.36</v>
      </c>
      <c r="J1830" s="14"/>
      <c r="K1830" s="14"/>
      <c r="L1830" s="14"/>
      <c r="M1830" s="15"/>
    </row>
    <row r="1831" spans="1:13" ht="12.75">
      <c r="A1831" s="41" t="s">
        <v>28</v>
      </c>
      <c r="B1831" s="157" t="s">
        <v>120</v>
      </c>
      <c r="C1831" s="6">
        <v>29600</v>
      </c>
      <c r="D1831" s="93">
        <v>14300</v>
      </c>
      <c r="E1831" s="88">
        <f t="shared" si="46"/>
        <v>15700</v>
      </c>
      <c r="F1831" s="6">
        <v>30000</v>
      </c>
      <c r="G1831" s="6">
        <v>30000</v>
      </c>
      <c r="J1831" s="14"/>
      <c r="K1831" s="14"/>
      <c r="L1831" s="14"/>
      <c r="M1831" s="15"/>
    </row>
    <row r="1832" spans="1:13" ht="12.75">
      <c r="A1832" s="41" t="s">
        <v>69</v>
      </c>
      <c r="B1832" s="157" t="s">
        <v>121</v>
      </c>
      <c r="C1832" s="6">
        <v>49437.51</v>
      </c>
      <c r="D1832" s="93">
        <v>26315.03</v>
      </c>
      <c r="E1832" s="88">
        <f t="shared" si="46"/>
        <v>43851.130000000005</v>
      </c>
      <c r="F1832" s="6">
        <v>70166.16</v>
      </c>
      <c r="G1832" s="6">
        <v>82091.88</v>
      </c>
      <c r="J1832" s="14"/>
      <c r="K1832" s="14"/>
      <c r="L1832" s="14"/>
      <c r="M1832" s="15"/>
    </row>
    <row r="1833" spans="1:13" ht="12.75">
      <c r="A1833" s="29" t="s">
        <v>122</v>
      </c>
      <c r="B1833" s="157" t="s">
        <v>123</v>
      </c>
      <c r="C1833" s="6">
        <v>29600</v>
      </c>
      <c r="D1833" s="93">
        <v>14300</v>
      </c>
      <c r="E1833" s="88">
        <f t="shared" si="46"/>
        <v>15700</v>
      </c>
      <c r="F1833" s="6">
        <v>30000</v>
      </c>
      <c r="G1833" s="6">
        <v>30000</v>
      </c>
      <c r="H1833" s="132"/>
      <c r="I1833" s="15"/>
      <c r="J1833" s="14"/>
      <c r="K1833" s="14"/>
      <c r="L1833" s="14"/>
      <c r="M1833" s="15"/>
    </row>
    <row r="1834" spans="1:13" ht="12.75">
      <c r="A1834" s="41" t="s">
        <v>90</v>
      </c>
      <c r="B1834" s="157" t="s">
        <v>124</v>
      </c>
      <c r="C1834" s="6">
        <v>0</v>
      </c>
      <c r="D1834" s="93">
        <v>0</v>
      </c>
      <c r="E1834" s="88">
        <f t="shared" si="46"/>
        <v>0</v>
      </c>
      <c r="F1834" s="6">
        <v>0</v>
      </c>
      <c r="G1834" s="6">
        <v>0</v>
      </c>
      <c r="I1834" s="20"/>
      <c r="J1834" s="15"/>
      <c r="K1834" s="15"/>
      <c r="L1834" s="15"/>
      <c r="M1834" s="15"/>
    </row>
    <row r="1835" spans="1:13" ht="14.25" customHeight="1">
      <c r="A1835" s="41" t="s">
        <v>99</v>
      </c>
      <c r="B1835" s="157" t="s">
        <v>125</v>
      </c>
      <c r="C1835" s="6">
        <v>96848.04</v>
      </c>
      <c r="D1835" s="93">
        <v>30132</v>
      </c>
      <c r="E1835" s="88">
        <f t="shared" si="46"/>
        <v>110763.70000000001</v>
      </c>
      <c r="F1835" s="6">
        <v>140895.7</v>
      </c>
      <c r="G1835" s="6">
        <f>G1828*10*0.0481927</f>
        <v>146527.012788</v>
      </c>
      <c r="I1835" s="15"/>
      <c r="J1835" s="14"/>
      <c r="K1835" s="14"/>
      <c r="L1835" s="14"/>
      <c r="M1835" s="463"/>
    </row>
    <row r="1836" spans="1:13" ht="12.75">
      <c r="A1836" s="5"/>
      <c r="B1836" s="5"/>
      <c r="C1836" s="6"/>
      <c r="D1836" s="6"/>
      <c r="E1836" s="6"/>
      <c r="F1836" s="6"/>
      <c r="G1836" s="6"/>
      <c r="I1836" s="14"/>
      <c r="J1836" s="14"/>
      <c r="K1836" s="14"/>
      <c r="L1836" s="290"/>
      <c r="M1836" s="15"/>
    </row>
    <row r="1837" spans="1:13" ht="12.75">
      <c r="A1837" s="18" t="s">
        <v>193</v>
      </c>
      <c r="B1837" s="5"/>
      <c r="C1837" s="8">
        <f>SUM(C1822:C1835)</f>
        <v>5378389.31</v>
      </c>
      <c r="D1837" s="8">
        <f>SUM(D1822:D1835)</f>
        <v>2650724.3099999996</v>
      </c>
      <c r="E1837" s="8">
        <f>SUM(E1822:E1835)</f>
        <v>3134360.5100000002</v>
      </c>
      <c r="F1837" s="8">
        <f>SUM(F1822:F1835)</f>
        <v>5785084.82</v>
      </c>
      <c r="G1837" s="8">
        <f>SUM(G1822:G1835)</f>
        <v>5983058.252788</v>
      </c>
      <c r="I1837" s="14"/>
      <c r="J1837" s="14"/>
      <c r="K1837" s="14"/>
      <c r="L1837" s="14"/>
      <c r="M1837" s="15"/>
    </row>
    <row r="1838" spans="1:13" ht="12.75">
      <c r="A1838" s="5"/>
      <c r="B1838" s="5"/>
      <c r="C1838" s="6"/>
      <c r="D1838" s="6"/>
      <c r="E1838" s="6"/>
      <c r="F1838" s="6"/>
      <c r="G1838" s="134"/>
      <c r="H1838" s="14"/>
      <c r="I1838" s="14"/>
      <c r="J1838" s="15"/>
      <c r="K1838" s="15"/>
      <c r="L1838" s="15"/>
      <c r="M1838" s="15"/>
    </row>
    <row r="1839" spans="1:13" ht="12.75">
      <c r="A1839" s="179"/>
      <c r="B1839" s="179"/>
      <c r="C1839" s="183"/>
      <c r="D1839" s="183"/>
      <c r="E1839" s="183"/>
      <c r="F1839" s="183"/>
      <c r="G1839" s="200"/>
      <c r="I1839" s="14"/>
      <c r="J1839" s="14"/>
      <c r="K1839" s="14"/>
      <c r="L1839" s="14"/>
      <c r="M1839" s="15"/>
    </row>
    <row r="1840" spans="1:13" ht="12.75">
      <c r="A1840" s="2"/>
      <c r="B1840" s="2"/>
      <c r="C1840" s="59"/>
      <c r="D1840" s="59"/>
      <c r="E1840" s="59"/>
      <c r="F1840" s="59"/>
      <c r="G1840" s="177"/>
      <c r="I1840" s="14"/>
      <c r="J1840" s="14"/>
      <c r="K1840" s="14"/>
      <c r="L1840" s="14"/>
      <c r="M1840" s="15"/>
    </row>
    <row r="1841" spans="1:13" ht="12.75">
      <c r="A1841" s="2"/>
      <c r="B1841" s="2"/>
      <c r="C1841" s="59"/>
      <c r="D1841" s="59"/>
      <c r="E1841" s="59"/>
      <c r="F1841" s="59"/>
      <c r="G1841" s="177"/>
      <c r="I1841" s="14"/>
      <c r="J1841" s="14"/>
      <c r="K1841" s="14"/>
      <c r="L1841" s="14"/>
      <c r="M1841" s="14"/>
    </row>
    <row r="1842" spans="1:13" ht="12.75">
      <c r="A1842" s="2"/>
      <c r="B1842" s="2"/>
      <c r="C1842" s="59"/>
      <c r="D1842" s="59"/>
      <c r="E1842" s="59"/>
      <c r="F1842" s="59"/>
      <c r="G1842" s="177"/>
      <c r="I1842" s="14"/>
      <c r="J1842" s="14"/>
      <c r="K1842" s="14"/>
      <c r="L1842" s="14"/>
      <c r="M1842" s="14"/>
    </row>
    <row r="1843" spans="1:9" ht="16.5" customHeight="1">
      <c r="A1843" s="2"/>
      <c r="B1843" s="2"/>
      <c r="C1843" s="59"/>
      <c r="D1843" s="59"/>
      <c r="E1843" s="59"/>
      <c r="F1843" s="59"/>
      <c r="G1843" s="177"/>
      <c r="H1843" s="15"/>
      <c r="I1843" s="14"/>
    </row>
    <row r="1844" spans="1:9" ht="12.75">
      <c r="A1844" s="23"/>
      <c r="B1844" s="23"/>
      <c r="C1844" s="484" t="s">
        <v>79</v>
      </c>
      <c r="D1844" s="485" t="s">
        <v>166</v>
      </c>
      <c r="E1844" s="486"/>
      <c r="F1844" s="487"/>
      <c r="G1844" s="488" t="s">
        <v>73</v>
      </c>
      <c r="H1844" s="14"/>
      <c r="I1844" s="14"/>
    </row>
    <row r="1845" spans="1:9" ht="12.75">
      <c r="A1845" s="24" t="s">
        <v>167</v>
      </c>
      <c r="B1845" s="304" t="s">
        <v>241</v>
      </c>
      <c r="C1845" s="476"/>
      <c r="D1845" s="24" t="s">
        <v>168</v>
      </c>
      <c r="E1845" s="24" t="s">
        <v>169</v>
      </c>
      <c r="F1845" s="477" t="s">
        <v>23</v>
      </c>
      <c r="G1845" s="483"/>
      <c r="H1845" s="14"/>
      <c r="I1845" s="14"/>
    </row>
    <row r="1846" spans="1:9" ht="12.75">
      <c r="A1846" s="24"/>
      <c r="B1846" s="24"/>
      <c r="C1846" s="24" t="s">
        <v>53</v>
      </c>
      <c r="D1846" s="24" t="s">
        <v>53</v>
      </c>
      <c r="E1846" s="156" t="s">
        <v>86</v>
      </c>
      <c r="F1846" s="478"/>
      <c r="G1846" s="3" t="s">
        <v>54</v>
      </c>
      <c r="I1846" s="14"/>
    </row>
    <row r="1847" spans="1:9" ht="12.75">
      <c r="A1847" s="46">
        <v>1</v>
      </c>
      <c r="B1847" s="46">
        <v>2</v>
      </c>
      <c r="C1847" s="46">
        <v>3</v>
      </c>
      <c r="D1847" s="90">
        <v>4</v>
      </c>
      <c r="E1847" s="90">
        <v>5</v>
      </c>
      <c r="F1847" s="90">
        <v>6</v>
      </c>
      <c r="G1847" s="91">
        <v>7</v>
      </c>
      <c r="H1847" s="45"/>
      <c r="I1847" s="14"/>
    </row>
    <row r="1848" spans="1:9" ht="12.75">
      <c r="A1848" s="43" t="s">
        <v>178</v>
      </c>
      <c r="B1848" s="72"/>
      <c r="C1848" s="6"/>
      <c r="D1848" s="6"/>
      <c r="E1848" s="6"/>
      <c r="F1848" s="6"/>
      <c r="G1848" s="6"/>
      <c r="H1848" s="45" t="s">
        <v>267</v>
      </c>
      <c r="I1848" s="14"/>
    </row>
    <row r="1849" spans="1:9" ht="12.75">
      <c r="A1849" s="27" t="s">
        <v>106</v>
      </c>
      <c r="B1849" s="62" t="s">
        <v>126</v>
      </c>
      <c r="C1849" s="6">
        <v>49885</v>
      </c>
      <c r="D1849" s="191">
        <v>36640</v>
      </c>
      <c r="E1849" s="88">
        <f aca="true" t="shared" si="47" ref="E1849:E1861">F1849-D1849</f>
        <v>33360</v>
      </c>
      <c r="F1849" s="6">
        <v>70000</v>
      </c>
      <c r="G1849" s="6">
        <v>70000</v>
      </c>
      <c r="I1849" s="14"/>
    </row>
    <row r="1850" spans="1:9" ht="12.75">
      <c r="A1850" s="41" t="s">
        <v>19</v>
      </c>
      <c r="B1850" s="62" t="s">
        <v>127</v>
      </c>
      <c r="C1850" s="6">
        <v>0</v>
      </c>
      <c r="D1850" s="191">
        <v>0</v>
      </c>
      <c r="E1850" s="88">
        <f t="shared" si="47"/>
        <v>0</v>
      </c>
      <c r="F1850" s="6">
        <v>0</v>
      </c>
      <c r="G1850" s="6">
        <v>0</v>
      </c>
      <c r="I1850" s="14"/>
    </row>
    <row r="1851" spans="1:9" ht="12.75">
      <c r="A1851" s="41" t="s">
        <v>2</v>
      </c>
      <c r="B1851" s="62" t="s">
        <v>128</v>
      </c>
      <c r="C1851" s="6">
        <v>50000</v>
      </c>
      <c r="D1851" s="191">
        <v>630</v>
      </c>
      <c r="E1851" s="88">
        <f t="shared" si="47"/>
        <v>65370</v>
      </c>
      <c r="F1851" s="6">
        <f>100000-34000</f>
        <v>66000</v>
      </c>
      <c r="G1851" s="6">
        <f>100000-34000</f>
        <v>66000</v>
      </c>
      <c r="I1851" s="14"/>
    </row>
    <row r="1852" spans="1:9" ht="12.75">
      <c r="A1852" s="125" t="s">
        <v>312</v>
      </c>
      <c r="B1852" s="127" t="s">
        <v>219</v>
      </c>
      <c r="C1852" s="139">
        <v>55819.38</v>
      </c>
      <c r="D1852" s="343">
        <v>0</v>
      </c>
      <c r="E1852" s="88">
        <f t="shared" si="47"/>
        <v>156704.01</v>
      </c>
      <c r="F1852" s="139">
        <f>150000+6704.01</f>
        <v>156704.01</v>
      </c>
      <c r="G1852" s="139">
        <f>150000+6704.01</f>
        <v>156704.01</v>
      </c>
      <c r="I1852" s="14"/>
    </row>
    <row r="1853" spans="1:9" ht="12.75">
      <c r="A1853" s="29" t="s">
        <v>63</v>
      </c>
      <c r="B1853" s="62" t="s">
        <v>131</v>
      </c>
      <c r="C1853" s="6">
        <v>0</v>
      </c>
      <c r="D1853" s="6">
        <v>0</v>
      </c>
      <c r="E1853" s="88">
        <f t="shared" si="47"/>
        <v>2000</v>
      </c>
      <c r="F1853" s="6">
        <v>2000</v>
      </c>
      <c r="G1853" s="6">
        <v>0</v>
      </c>
      <c r="I1853" s="14"/>
    </row>
    <row r="1854" spans="1:9" ht="12.75">
      <c r="A1854" s="29" t="s">
        <v>227</v>
      </c>
      <c r="B1854" s="62" t="s">
        <v>135</v>
      </c>
      <c r="C1854" s="6">
        <v>0</v>
      </c>
      <c r="D1854" s="6">
        <v>0</v>
      </c>
      <c r="E1854" s="88">
        <f t="shared" si="47"/>
        <v>84000</v>
      </c>
      <c r="F1854" s="6">
        <v>84000</v>
      </c>
      <c r="G1854" s="6">
        <v>84000</v>
      </c>
      <c r="I1854" s="14"/>
    </row>
    <row r="1855" spans="1:9" ht="12.75">
      <c r="A1855" s="29" t="s">
        <v>45</v>
      </c>
      <c r="B1855" s="94" t="s">
        <v>136</v>
      </c>
      <c r="C1855" s="6"/>
      <c r="D1855" s="6">
        <v>8000</v>
      </c>
      <c r="E1855" s="59">
        <f t="shared" si="47"/>
        <v>21000</v>
      </c>
      <c r="F1855" s="6">
        <v>29000</v>
      </c>
      <c r="G1855" s="6">
        <v>24000</v>
      </c>
      <c r="I1855" s="14"/>
    </row>
    <row r="1856" spans="1:9" ht="12.75">
      <c r="A1856" s="29" t="s">
        <v>251</v>
      </c>
      <c r="B1856" s="62" t="s">
        <v>252</v>
      </c>
      <c r="C1856" s="283">
        <v>403966</v>
      </c>
      <c r="D1856" s="152">
        <v>201400</v>
      </c>
      <c r="E1856" s="152">
        <f t="shared" si="47"/>
        <v>424600</v>
      </c>
      <c r="F1856" s="283">
        <f>676000-50000</f>
        <v>626000</v>
      </c>
      <c r="G1856" s="283">
        <f>676000-50000</f>
        <v>626000</v>
      </c>
      <c r="H1856" s="20"/>
      <c r="I1856" s="14"/>
    </row>
    <row r="1857" spans="1:9" ht="12.75">
      <c r="A1857" s="29" t="s">
        <v>253</v>
      </c>
      <c r="B1857" s="62" t="s">
        <v>254</v>
      </c>
      <c r="C1857" s="283">
        <v>444900</v>
      </c>
      <c r="D1857" s="152">
        <v>89800</v>
      </c>
      <c r="E1857" s="152">
        <f t="shared" si="47"/>
        <v>372200</v>
      </c>
      <c r="F1857" s="283">
        <f>211200+250800</f>
        <v>462000</v>
      </c>
      <c r="G1857" s="283">
        <f>211200+250800-100000</f>
        <v>362000</v>
      </c>
      <c r="I1857" s="14"/>
    </row>
    <row r="1858" spans="1:9" ht="12.75">
      <c r="A1858" s="346" t="s">
        <v>310</v>
      </c>
      <c r="B1858" s="94" t="s">
        <v>145</v>
      </c>
      <c r="C1858" s="123">
        <v>4510</v>
      </c>
      <c r="D1858" s="6">
        <v>0</v>
      </c>
      <c r="E1858" s="88">
        <f t="shared" si="47"/>
        <v>200000</v>
      </c>
      <c r="F1858" s="123">
        <v>200000</v>
      </c>
      <c r="G1858" s="123">
        <v>200000</v>
      </c>
      <c r="I1858" s="14"/>
    </row>
    <row r="1859" spans="1:9" ht="12.75">
      <c r="A1859" s="29" t="s">
        <v>146</v>
      </c>
      <c r="B1859" s="204" t="s">
        <v>147</v>
      </c>
      <c r="C1859" s="6">
        <v>0</v>
      </c>
      <c r="D1859" s="6">
        <v>0</v>
      </c>
      <c r="E1859" s="88">
        <f t="shared" si="47"/>
        <v>20000</v>
      </c>
      <c r="F1859" s="6">
        <v>20000</v>
      </c>
      <c r="G1859" s="6">
        <v>20000</v>
      </c>
      <c r="I1859" s="14"/>
    </row>
    <row r="1860" spans="1:9" ht="12.75">
      <c r="A1860" s="29" t="s">
        <v>270</v>
      </c>
      <c r="B1860" s="62" t="s">
        <v>271</v>
      </c>
      <c r="C1860" s="88">
        <v>0</v>
      </c>
      <c r="D1860" s="191">
        <v>7000</v>
      </c>
      <c r="E1860" s="88">
        <f t="shared" si="47"/>
        <v>13000</v>
      </c>
      <c r="F1860" s="88">
        <v>20000</v>
      </c>
      <c r="G1860" s="88">
        <v>20000</v>
      </c>
      <c r="I1860" s="14"/>
    </row>
    <row r="1861" spans="1:9" ht="12.75">
      <c r="A1861" s="41" t="s">
        <v>67</v>
      </c>
      <c r="B1861" s="63" t="s">
        <v>153</v>
      </c>
      <c r="C1861" s="6">
        <v>0</v>
      </c>
      <c r="D1861" s="6">
        <v>0</v>
      </c>
      <c r="E1861" s="88">
        <f t="shared" si="47"/>
        <v>0</v>
      </c>
      <c r="F1861" s="6">
        <v>0</v>
      </c>
      <c r="G1861" s="6">
        <v>0</v>
      </c>
      <c r="I1861" s="14"/>
    </row>
    <row r="1862" spans="1:8" ht="12.75">
      <c r="A1862" s="5"/>
      <c r="B1862" s="63"/>
      <c r="C1862" s="6"/>
      <c r="D1862" s="6"/>
      <c r="E1862" s="6"/>
      <c r="F1862" s="6"/>
      <c r="G1862" s="6"/>
      <c r="H1862" s="2"/>
    </row>
    <row r="1863" spans="1:11" ht="12.75">
      <c r="A1863" s="43" t="s">
        <v>192</v>
      </c>
      <c r="B1863" s="5"/>
      <c r="C1863" s="8">
        <f>SUM(C1849:C1862)</f>
        <v>1009080.38</v>
      </c>
      <c r="D1863" s="8">
        <f>SUM(D1849:D1862)</f>
        <v>343470</v>
      </c>
      <c r="E1863" s="8">
        <f>SUM(E1849:E1862)</f>
        <v>1392234.01</v>
      </c>
      <c r="F1863" s="8">
        <f>SUM(F1849:F1862)</f>
        <v>1735704.01</v>
      </c>
      <c r="G1863" s="8">
        <f>SUM(G1849:G1862)</f>
        <v>1628704.01</v>
      </c>
      <c r="J1863" s="14"/>
      <c r="K1863" s="14"/>
    </row>
    <row r="1864" spans="1:7" ht="12.75">
      <c r="A1864" s="42"/>
      <c r="B1864" s="5"/>
      <c r="C1864" s="8"/>
      <c r="D1864" s="8"/>
      <c r="E1864" s="8"/>
      <c r="F1864" s="8"/>
      <c r="G1864" s="8"/>
    </row>
    <row r="1865" spans="1:7" ht="12.75">
      <c r="A1865" s="43" t="s">
        <v>44</v>
      </c>
      <c r="B1865" s="5"/>
      <c r="C1865" s="8"/>
      <c r="D1865" s="8"/>
      <c r="E1865" s="8"/>
      <c r="F1865" s="8"/>
      <c r="G1865" s="8"/>
    </row>
    <row r="1866" spans="1:7" ht="12.75">
      <c r="A1866" s="28" t="s">
        <v>26</v>
      </c>
      <c r="B1866" s="39" t="s">
        <v>155</v>
      </c>
      <c r="C1866" s="6">
        <v>0</v>
      </c>
      <c r="D1866" s="6">
        <v>0</v>
      </c>
      <c r="E1866" s="88">
        <f>F1866-D1866</f>
        <v>0</v>
      </c>
      <c r="F1866" s="6">
        <v>0</v>
      </c>
      <c r="G1866" s="6">
        <v>0</v>
      </c>
    </row>
    <row r="1867" spans="1:7" ht="12.75">
      <c r="A1867" s="33" t="s">
        <v>31</v>
      </c>
      <c r="B1867" s="63" t="s">
        <v>156</v>
      </c>
      <c r="C1867" s="6">
        <v>0</v>
      </c>
      <c r="D1867" s="6">
        <v>0</v>
      </c>
      <c r="E1867" s="88">
        <f>F1867-D1867</f>
        <v>0</v>
      </c>
      <c r="F1867" s="6">
        <v>0</v>
      </c>
      <c r="G1867" s="6">
        <v>0</v>
      </c>
    </row>
    <row r="1868" spans="1:7" ht="12.75">
      <c r="A1868" s="28" t="s">
        <v>92</v>
      </c>
      <c r="B1868" s="39" t="s">
        <v>157</v>
      </c>
      <c r="C1868" s="6">
        <v>0</v>
      </c>
      <c r="D1868" s="6">
        <v>40000</v>
      </c>
      <c r="E1868" s="88">
        <f>F1868-D1868</f>
        <v>0</v>
      </c>
      <c r="F1868" s="6">
        <v>40000</v>
      </c>
      <c r="G1868" s="6">
        <v>0</v>
      </c>
    </row>
    <row r="1869" spans="1:7" ht="12.75">
      <c r="A1869" s="412" t="s">
        <v>359</v>
      </c>
      <c r="B1869" s="127"/>
      <c r="C1869" s="139">
        <v>0</v>
      </c>
      <c r="D1869" s="139">
        <v>0</v>
      </c>
      <c r="E1869" s="121">
        <f>F1869-D1869</f>
        <v>500000</v>
      </c>
      <c r="F1869" s="139">
        <v>500000</v>
      </c>
      <c r="G1869" s="139">
        <v>0</v>
      </c>
    </row>
    <row r="1870" spans="1:7" ht="12.75">
      <c r="A1870" s="33" t="s">
        <v>234</v>
      </c>
      <c r="B1870" s="130" t="s">
        <v>233</v>
      </c>
      <c r="C1870" s="6">
        <v>0</v>
      </c>
      <c r="D1870" s="6">
        <v>0</v>
      </c>
      <c r="E1870" s="88">
        <f>F1870-D1870</f>
        <v>0</v>
      </c>
      <c r="F1870" s="6">
        <v>0</v>
      </c>
      <c r="G1870" s="6">
        <v>0</v>
      </c>
    </row>
    <row r="1871" spans="1:12" ht="12.75">
      <c r="A1871" s="43" t="s">
        <v>77</v>
      </c>
      <c r="B1871" s="63"/>
      <c r="C1871" s="8">
        <f>SUM(C1866:C1870)</f>
        <v>0</v>
      </c>
      <c r="D1871" s="8">
        <f>SUM(D1866:D1870)</f>
        <v>40000</v>
      </c>
      <c r="E1871" s="8">
        <f>SUM(E1866:E1870)</f>
        <v>500000</v>
      </c>
      <c r="F1871" s="8">
        <f>SUM(F1866:F1870)</f>
        <v>540000</v>
      </c>
      <c r="G1871" s="8">
        <f>SUM(G1866:G1870)</f>
        <v>0</v>
      </c>
      <c r="L1871" s="14"/>
    </row>
    <row r="1872" spans="1:7" ht="12.75">
      <c r="A1872" s="42"/>
      <c r="B1872" s="5"/>
      <c r="C1872" s="5"/>
      <c r="D1872" s="5"/>
      <c r="E1872" s="5"/>
      <c r="F1872" s="5"/>
      <c r="G1872" s="64"/>
    </row>
    <row r="1873" spans="1:8" ht="12.75">
      <c r="A1873" s="7" t="s">
        <v>34</v>
      </c>
      <c r="B1873" s="5"/>
      <c r="C1873" s="8">
        <f>C1837+C1863+C1871</f>
        <v>6387469.6899999995</v>
      </c>
      <c r="D1873" s="8">
        <f>D1837+D1863+D1871</f>
        <v>3034194.3099999996</v>
      </c>
      <c r="E1873" s="8">
        <f>E1837+E1863+E1871</f>
        <v>5026594.5200000005</v>
      </c>
      <c r="F1873" s="8">
        <f>F1837+F1863+F1871</f>
        <v>8060788.83</v>
      </c>
      <c r="G1873" s="8">
        <f>G1837+G1863+G1871</f>
        <v>7611762.262788</v>
      </c>
      <c r="H1873" s="14"/>
    </row>
    <row r="1874" spans="1:7" ht="12.75">
      <c r="A1874" s="4"/>
      <c r="B1874" s="4"/>
      <c r="C1874" s="4"/>
      <c r="D1874" s="4"/>
      <c r="E1874" s="4"/>
      <c r="F1874" s="4"/>
      <c r="G1874" s="10"/>
    </row>
    <row r="1875" spans="1:7" ht="12.75">
      <c r="A1875" s="2"/>
      <c r="B1875" s="2"/>
      <c r="C1875" s="2"/>
      <c r="D1875" s="2"/>
      <c r="E1875" s="2"/>
      <c r="F1875" s="2"/>
      <c r="G1875" s="85"/>
    </row>
    <row r="1876" spans="1:7" ht="12.75">
      <c r="A1876" s="2" t="s">
        <v>185</v>
      </c>
      <c r="B1876" s="2" t="s">
        <v>186</v>
      </c>
      <c r="C1876" s="2"/>
      <c r="D1876" s="2"/>
      <c r="E1876" s="161" t="s">
        <v>170</v>
      </c>
      <c r="F1876" s="2"/>
      <c r="G1876" s="85"/>
    </row>
    <row r="1877" spans="1:7" ht="12.75">
      <c r="A1877" s="2"/>
      <c r="B1877" s="2"/>
      <c r="C1877" s="2"/>
      <c r="D1877" s="2"/>
      <c r="E1877" s="161"/>
      <c r="F1877" s="2"/>
      <c r="G1877" s="2"/>
    </row>
    <row r="1878" spans="1:7" ht="12.75">
      <c r="A1878" s="2"/>
      <c r="B1878" s="2"/>
      <c r="C1878" s="2"/>
      <c r="D1878" s="2"/>
      <c r="E1878" s="161"/>
      <c r="F1878" s="2"/>
      <c r="G1878" s="2"/>
    </row>
    <row r="1879" spans="1:7" ht="12.75">
      <c r="A1879" s="98" t="s">
        <v>161</v>
      </c>
      <c r="B1879" s="22" t="s">
        <v>277</v>
      </c>
      <c r="C1879" s="22"/>
      <c r="D1879" s="22"/>
      <c r="E1879" s="162" t="s">
        <v>161</v>
      </c>
      <c r="F1879" s="22"/>
      <c r="G1879" s="2"/>
    </row>
    <row r="1880" spans="1:7" ht="12.75">
      <c r="A1880" s="74" t="s">
        <v>25</v>
      </c>
      <c r="B1880" s="2" t="s">
        <v>373</v>
      </c>
      <c r="C1880" s="2"/>
      <c r="D1880" s="2"/>
      <c r="E1880" s="161" t="s">
        <v>25</v>
      </c>
      <c r="F1880" s="22"/>
      <c r="G1880" s="2"/>
    </row>
    <row r="1881" spans="1:7" ht="12.75">
      <c r="A1881" s="44"/>
      <c r="B1881" s="22"/>
      <c r="C1881" s="22"/>
      <c r="D1881" s="22"/>
      <c r="E1881" s="22"/>
      <c r="F1881" s="22"/>
      <c r="G1881" s="2"/>
    </row>
    <row r="1882" spans="1:7" ht="12.75">
      <c r="A1882" s="2"/>
      <c r="B1882" s="2"/>
      <c r="C1882" s="2"/>
      <c r="D1882" s="2"/>
      <c r="E1882" s="2"/>
      <c r="F1882" s="2"/>
      <c r="G1882" s="2"/>
    </row>
    <row r="1883" spans="1:7" ht="12.75">
      <c r="A1883" s="2"/>
      <c r="B1883" s="2"/>
      <c r="C1883" s="2"/>
      <c r="D1883" s="2"/>
      <c r="E1883" s="2"/>
      <c r="F1883" s="2"/>
      <c r="G1883" s="2"/>
    </row>
    <row r="1884" spans="1:7" ht="12.75">
      <c r="A1884" s="2"/>
      <c r="B1884" s="2"/>
      <c r="C1884" s="2"/>
      <c r="D1884" s="2"/>
      <c r="E1884" s="2"/>
      <c r="F1884" s="2"/>
      <c r="G1884" s="2"/>
    </row>
    <row r="1885" spans="1:7" ht="12.75">
      <c r="A1885" s="2"/>
      <c r="B1885" s="2"/>
      <c r="C1885" s="2"/>
      <c r="D1885" s="2"/>
      <c r="E1885" s="2"/>
      <c r="F1885" s="2"/>
      <c r="G1885" s="2"/>
    </row>
    <row r="1886" spans="1:7" ht="12.75">
      <c r="A1886" s="2"/>
      <c r="B1886" s="2"/>
      <c r="C1886" s="2"/>
      <c r="D1886" s="2"/>
      <c r="E1886" s="2"/>
      <c r="F1886" s="2"/>
      <c r="G1886" s="2"/>
    </row>
    <row r="1887" spans="1:7" ht="12.75">
      <c r="A1887" s="2"/>
      <c r="B1887" s="2"/>
      <c r="C1887" s="2"/>
      <c r="D1887" s="2"/>
      <c r="E1887" s="2"/>
      <c r="F1887" s="2"/>
      <c r="G1887" s="2"/>
    </row>
    <row r="1888" spans="1:7" ht="12.75">
      <c r="A1888" s="22"/>
      <c r="B1888" s="22"/>
      <c r="C1888" s="22"/>
      <c r="D1888" s="22"/>
      <c r="E1888" s="22"/>
      <c r="F1888" s="22"/>
      <c r="G1888" s="2"/>
    </row>
    <row r="1889" spans="1:7" ht="12.75">
      <c r="A1889" s="22"/>
      <c r="B1889" s="22"/>
      <c r="C1889" s="22"/>
      <c r="D1889" s="22"/>
      <c r="E1889" s="22"/>
      <c r="F1889" s="22"/>
      <c r="G1889" s="2"/>
    </row>
    <row r="1901" ht="15.75">
      <c r="H1901" s="141"/>
    </row>
    <row r="1902" ht="12.75">
      <c r="H1902" s="20"/>
    </row>
    <row r="1903" ht="12.75">
      <c r="H1903" s="20"/>
    </row>
    <row r="1904" ht="12.75">
      <c r="H1904" s="20"/>
    </row>
    <row r="1905" ht="12.75">
      <c r="H1905" s="20"/>
    </row>
    <row r="1906" ht="12.75">
      <c r="H1906" s="20"/>
    </row>
    <row r="1907" ht="12.75">
      <c r="H1907" s="20"/>
    </row>
    <row r="1908" ht="12.75">
      <c r="H1908" s="20"/>
    </row>
    <row r="1909" ht="12.75">
      <c r="H1909" s="20"/>
    </row>
    <row r="1910" ht="12.75">
      <c r="H1910" s="20"/>
    </row>
    <row r="1911" ht="12.75">
      <c r="H1911" s="20"/>
    </row>
    <row r="1912" ht="12.75">
      <c r="H1912" s="20"/>
    </row>
    <row r="1913" ht="12.75">
      <c r="H1913" s="20"/>
    </row>
    <row r="1914" ht="12.75">
      <c r="H1914" s="20"/>
    </row>
    <row r="1915" ht="12.75">
      <c r="H1915" s="20"/>
    </row>
    <row r="1916" ht="12.75">
      <c r="H1916" s="20"/>
    </row>
  </sheetData>
  <sheetProtection/>
  <mergeCells count="240">
    <mergeCell ref="C475:C476"/>
    <mergeCell ref="D475:F475"/>
    <mergeCell ref="G475:G476"/>
    <mergeCell ref="F476:F477"/>
    <mergeCell ref="A439:G439"/>
    <mergeCell ref="A440:G440"/>
    <mergeCell ref="C445:C446"/>
    <mergeCell ref="D445:F445"/>
    <mergeCell ref="G445:G446"/>
    <mergeCell ref="F446:F447"/>
    <mergeCell ref="C368:C369"/>
    <mergeCell ref="D368:F368"/>
    <mergeCell ref="G368:G369"/>
    <mergeCell ref="F369:F370"/>
    <mergeCell ref="C398:C399"/>
    <mergeCell ref="D398:F398"/>
    <mergeCell ref="G398:G399"/>
    <mergeCell ref="F399:F400"/>
    <mergeCell ref="C319:C320"/>
    <mergeCell ref="D319:F319"/>
    <mergeCell ref="G319:G320"/>
    <mergeCell ref="F320:F321"/>
    <mergeCell ref="A362:G362"/>
    <mergeCell ref="A363:G363"/>
    <mergeCell ref="A283:G283"/>
    <mergeCell ref="A284:G284"/>
    <mergeCell ref="C289:C290"/>
    <mergeCell ref="D289:F289"/>
    <mergeCell ref="G289:G290"/>
    <mergeCell ref="F290:F291"/>
    <mergeCell ref="A517:G517"/>
    <mergeCell ref="C522:C523"/>
    <mergeCell ref="D522:F522"/>
    <mergeCell ref="G522:G523"/>
    <mergeCell ref="F523:F524"/>
    <mergeCell ref="C552:C553"/>
    <mergeCell ref="D552:F552"/>
    <mergeCell ref="G552:G553"/>
    <mergeCell ref="F553:F554"/>
    <mergeCell ref="A1259:G1259"/>
    <mergeCell ref="C795:C796"/>
    <mergeCell ref="G951:G952"/>
    <mergeCell ref="C678:C679"/>
    <mergeCell ref="D717:F717"/>
    <mergeCell ref="G717:G718"/>
    <mergeCell ref="G873:G874"/>
    <mergeCell ref="F874:F875"/>
    <mergeCell ref="D747:F747"/>
    <mergeCell ref="G747:G748"/>
    <mergeCell ref="G599:G600"/>
    <mergeCell ref="A790:G790"/>
    <mergeCell ref="C629:C630"/>
    <mergeCell ref="A712:G712"/>
    <mergeCell ref="D903:F903"/>
    <mergeCell ref="G903:G904"/>
    <mergeCell ref="F904:F905"/>
    <mergeCell ref="G795:G796"/>
    <mergeCell ref="F796:F797"/>
    <mergeCell ref="D678:F678"/>
    <mergeCell ref="C1687:C1688"/>
    <mergeCell ref="D873:F873"/>
    <mergeCell ref="D1687:F1687"/>
    <mergeCell ref="G1687:G1688"/>
    <mergeCell ref="F1688:F1689"/>
    <mergeCell ref="D1216:F1216"/>
    <mergeCell ref="F1139:F1140"/>
    <mergeCell ref="F982:F983"/>
    <mergeCell ref="A1025:G1025"/>
    <mergeCell ref="C1294:C1295"/>
    <mergeCell ref="G678:G679"/>
    <mergeCell ref="F679:F680"/>
    <mergeCell ref="D242:F242"/>
    <mergeCell ref="A516:G516"/>
    <mergeCell ref="A789:G789"/>
    <mergeCell ref="C599:C600"/>
    <mergeCell ref="D599:F599"/>
    <mergeCell ref="A672:G672"/>
    <mergeCell ref="A673:G673"/>
    <mergeCell ref="G242:G243"/>
    <mergeCell ref="C825:C826"/>
    <mergeCell ref="C951:C952"/>
    <mergeCell ref="D951:F951"/>
    <mergeCell ref="F718:F719"/>
    <mergeCell ref="D981:F981"/>
    <mergeCell ref="F952:F953"/>
    <mergeCell ref="D795:F795"/>
    <mergeCell ref="F243:F244"/>
    <mergeCell ref="A207:G207"/>
    <mergeCell ref="F214:F215"/>
    <mergeCell ref="C213:C214"/>
    <mergeCell ref="D213:F213"/>
    <mergeCell ref="G213:G214"/>
    <mergeCell ref="C242:C243"/>
    <mergeCell ref="A6:G6"/>
    <mergeCell ref="G41:G42"/>
    <mergeCell ref="F42:F43"/>
    <mergeCell ref="C82:C83"/>
    <mergeCell ref="D82:F82"/>
    <mergeCell ref="F164:F165"/>
    <mergeCell ref="G82:G83"/>
    <mergeCell ref="F83:F84"/>
    <mergeCell ref="G133:G134"/>
    <mergeCell ref="C1451:C1452"/>
    <mergeCell ref="A208:G208"/>
    <mergeCell ref="F134:F135"/>
    <mergeCell ref="C163:C164"/>
    <mergeCell ref="D163:F163"/>
    <mergeCell ref="G163:G164"/>
    <mergeCell ref="G825:G826"/>
    <mergeCell ref="F826:F827"/>
    <mergeCell ref="A711:G711"/>
    <mergeCell ref="D825:F825"/>
    <mergeCell ref="F1373:F1374"/>
    <mergeCell ref="G1502:G1503"/>
    <mergeCell ref="F1503:F1504"/>
    <mergeCell ref="D1294:F1294"/>
    <mergeCell ref="G1294:G1295"/>
    <mergeCell ref="F1346:F1347"/>
    <mergeCell ref="F1295:F1296"/>
    <mergeCell ref="A1339:G1339"/>
    <mergeCell ref="C1345:C1346"/>
    <mergeCell ref="A1338:G1338"/>
    <mergeCell ref="G1109:G1110"/>
    <mergeCell ref="A1260:G1260"/>
    <mergeCell ref="C1372:C1373"/>
    <mergeCell ref="D1372:F1372"/>
    <mergeCell ref="G1372:G1373"/>
    <mergeCell ref="D1345:F1345"/>
    <mergeCell ref="G1345:G1346"/>
    <mergeCell ref="D1266:F1266"/>
    <mergeCell ref="G1266:G1267"/>
    <mergeCell ref="F1267:F1268"/>
    <mergeCell ref="D1188:F1188"/>
    <mergeCell ref="F1189:F1190"/>
    <mergeCell ref="C1188:C1189"/>
    <mergeCell ref="G1188:G1189"/>
    <mergeCell ref="C1216:C1217"/>
    <mergeCell ref="G1216:G1217"/>
    <mergeCell ref="F1217:F1218"/>
    <mergeCell ref="C1266:C1267"/>
    <mergeCell ref="A7:G7"/>
    <mergeCell ref="C12:C13"/>
    <mergeCell ref="D12:F12"/>
    <mergeCell ref="G12:G13"/>
    <mergeCell ref="F13:F14"/>
    <mergeCell ref="C41:C42"/>
    <mergeCell ref="F1031:F1032"/>
    <mergeCell ref="D41:F41"/>
    <mergeCell ref="F748:F749"/>
    <mergeCell ref="F600:F601"/>
    <mergeCell ref="D1030:F1030"/>
    <mergeCell ref="G1030:G1031"/>
    <mergeCell ref="A1024:G1024"/>
    <mergeCell ref="C873:C874"/>
    <mergeCell ref="C717:C718"/>
    <mergeCell ref="G629:G630"/>
    <mergeCell ref="F630:F631"/>
    <mergeCell ref="C747:C748"/>
    <mergeCell ref="C1030:C1031"/>
    <mergeCell ref="G981:G982"/>
    <mergeCell ref="A946:G946"/>
    <mergeCell ref="A867:G867"/>
    <mergeCell ref="A868:G868"/>
    <mergeCell ref="A945:G945"/>
    <mergeCell ref="C1059:C1060"/>
    <mergeCell ref="C981:C982"/>
    <mergeCell ref="C903:C904"/>
    <mergeCell ref="D1059:F1059"/>
    <mergeCell ref="A1416:G1416"/>
    <mergeCell ref="C1422:C1423"/>
    <mergeCell ref="D1422:F1422"/>
    <mergeCell ref="F1423:F1424"/>
    <mergeCell ref="A1415:G1415"/>
    <mergeCell ref="G1422:G1423"/>
    <mergeCell ref="D1451:F1451"/>
    <mergeCell ref="G1451:G1452"/>
    <mergeCell ref="F1452:F1453"/>
    <mergeCell ref="C1529:C1530"/>
    <mergeCell ref="D1529:F1529"/>
    <mergeCell ref="G1529:G1530"/>
    <mergeCell ref="F1530:F1531"/>
    <mergeCell ref="A1495:G1495"/>
    <mergeCell ref="A1496:G1496"/>
    <mergeCell ref="D1502:F1502"/>
    <mergeCell ref="F1661:F1662"/>
    <mergeCell ref="A1653:G1653"/>
    <mergeCell ref="D1609:F1609"/>
    <mergeCell ref="G1609:G1610"/>
    <mergeCell ref="F1610:F1611"/>
    <mergeCell ref="A1573:G1573"/>
    <mergeCell ref="A1574:G1574"/>
    <mergeCell ref="C1580:C1581"/>
    <mergeCell ref="D1580:F1580"/>
    <mergeCell ref="G1580:G1581"/>
    <mergeCell ref="C1765:C1766"/>
    <mergeCell ref="D1765:F1765"/>
    <mergeCell ref="G1765:G1766"/>
    <mergeCell ref="F1766:F1767"/>
    <mergeCell ref="D1844:F1844"/>
    <mergeCell ref="G1844:G1845"/>
    <mergeCell ref="C1737:C1738"/>
    <mergeCell ref="D1737:F1737"/>
    <mergeCell ref="G1737:G1738"/>
    <mergeCell ref="F1845:F1846"/>
    <mergeCell ref="C1816:C1817"/>
    <mergeCell ref="D1816:F1816"/>
    <mergeCell ref="F1738:F1739"/>
    <mergeCell ref="G1816:G1817"/>
    <mergeCell ref="F1817:F1818"/>
    <mergeCell ref="C1844:C1845"/>
    <mergeCell ref="A593:G593"/>
    <mergeCell ref="A1810:G1810"/>
    <mergeCell ref="A1809:G1809"/>
    <mergeCell ref="A1731:G1731"/>
    <mergeCell ref="A127:G127"/>
    <mergeCell ref="A128:G128"/>
    <mergeCell ref="C133:C134"/>
    <mergeCell ref="D133:F133"/>
    <mergeCell ref="A1181:G1181"/>
    <mergeCell ref="D629:F629"/>
    <mergeCell ref="D1138:F1138"/>
    <mergeCell ref="G1138:G1139"/>
    <mergeCell ref="A1103:G1103"/>
    <mergeCell ref="A1104:G1104"/>
    <mergeCell ref="C1109:C1110"/>
    <mergeCell ref="G1059:G1060"/>
    <mergeCell ref="F1060:F1061"/>
    <mergeCell ref="F1110:F1111"/>
    <mergeCell ref="C1138:C1139"/>
    <mergeCell ref="D1109:F1109"/>
    <mergeCell ref="A1654:G1654"/>
    <mergeCell ref="A1730:G1730"/>
    <mergeCell ref="C1502:C1503"/>
    <mergeCell ref="C1609:C1610"/>
    <mergeCell ref="A594:G594"/>
    <mergeCell ref="F1581:F1582"/>
    <mergeCell ref="C1660:C1661"/>
    <mergeCell ref="D1660:F1660"/>
    <mergeCell ref="G1660:G1661"/>
    <mergeCell ref="A1182:G1182"/>
  </mergeCells>
  <printOptions/>
  <pageMargins left="1" right="0.75" top="0.65" bottom="1" header="0.5" footer="0.5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50"/>
  <sheetViews>
    <sheetView zoomScale="118" zoomScaleNormal="118" zoomScalePageLayoutView="0" workbookViewId="0" topLeftCell="A104">
      <selection activeCell="H33" sqref="H33"/>
    </sheetView>
  </sheetViews>
  <sheetFormatPr defaultColWidth="9.140625" defaultRowHeight="12.75"/>
  <cols>
    <col min="1" max="1" width="41.7109375" style="19" customWidth="1"/>
    <col min="2" max="2" width="14.00390625" style="19" customWidth="1"/>
    <col min="3" max="3" width="12.00390625" style="19" customWidth="1"/>
    <col min="4" max="4" width="14.421875" style="19" customWidth="1"/>
    <col min="5" max="5" width="14.57421875" style="19" customWidth="1"/>
    <col min="6" max="6" width="14.140625" style="19" customWidth="1"/>
    <col min="7" max="8" width="14.28125" style="19" customWidth="1"/>
    <col min="9" max="9" width="15.8515625" style="19" customWidth="1"/>
    <col min="10" max="10" width="16.8515625" style="19" customWidth="1"/>
    <col min="11" max="11" width="16.421875" style="19" customWidth="1"/>
    <col min="12" max="12" width="14.421875" style="19" customWidth="1"/>
    <col min="13" max="14" width="9.140625" style="19" customWidth="1"/>
    <col min="15" max="15" width="23.8515625" style="19" customWidth="1"/>
    <col min="16" max="16384" width="9.140625" style="19" customWidth="1"/>
  </cols>
  <sheetData>
    <row r="1" spans="1:5" ht="11.25">
      <c r="A1" s="499" t="s">
        <v>383</v>
      </c>
      <c r="B1" s="499"/>
      <c r="C1" s="499"/>
      <c r="D1" s="499"/>
      <c r="E1" s="499"/>
    </row>
    <row r="2" spans="1:5" ht="12.75" customHeight="1">
      <c r="A2" s="499"/>
      <c r="B2" s="499"/>
      <c r="C2" s="499"/>
      <c r="D2" s="499"/>
      <c r="E2" s="499"/>
    </row>
    <row r="3" spans="1:8" ht="15">
      <c r="A3" s="474" t="s">
        <v>165</v>
      </c>
      <c r="B3" s="474"/>
      <c r="C3" s="474"/>
      <c r="D3" s="474"/>
      <c r="E3" s="474"/>
      <c r="F3" s="474"/>
      <c r="G3" s="474"/>
      <c r="H3" s="474"/>
    </row>
    <row r="4" spans="1:9" ht="15">
      <c r="A4" s="474" t="s">
        <v>172</v>
      </c>
      <c r="B4" s="474"/>
      <c r="C4" s="474"/>
      <c r="D4" s="474"/>
      <c r="E4" s="474"/>
      <c r="F4" s="474"/>
      <c r="G4" s="474"/>
      <c r="H4" s="474"/>
      <c r="I4" s="78"/>
    </row>
    <row r="5" spans="1:9" ht="10.5" customHeight="1">
      <c r="A5" s="53"/>
      <c r="B5" s="53"/>
      <c r="C5" s="53"/>
      <c r="D5" s="53"/>
      <c r="E5" s="53"/>
      <c r="F5" s="53"/>
      <c r="G5" s="53"/>
      <c r="H5" s="53"/>
      <c r="I5" s="78"/>
    </row>
    <row r="6" spans="1:8" ht="11.25">
      <c r="A6" s="69"/>
      <c r="B6" s="69"/>
      <c r="C6" s="69" t="s">
        <v>162</v>
      </c>
      <c r="D6" s="69"/>
      <c r="E6" s="498" t="s">
        <v>72</v>
      </c>
      <c r="F6" s="498"/>
      <c r="G6" s="498"/>
      <c r="H6" s="69"/>
    </row>
    <row r="7" spans="1:8" ht="11.25">
      <c r="A7" s="70"/>
      <c r="B7" s="70" t="s">
        <v>71</v>
      </c>
      <c r="C7" s="70" t="s">
        <v>163</v>
      </c>
      <c r="D7" s="70" t="s">
        <v>79</v>
      </c>
      <c r="E7" s="70" t="s">
        <v>83</v>
      </c>
      <c r="F7" s="70" t="s">
        <v>84</v>
      </c>
      <c r="G7" s="70" t="s">
        <v>98</v>
      </c>
      <c r="H7" s="70" t="s">
        <v>73</v>
      </c>
    </row>
    <row r="8" spans="1:8" ht="11.25">
      <c r="A8" s="70" t="s">
        <v>82</v>
      </c>
      <c r="B8" s="70" t="s">
        <v>74</v>
      </c>
      <c r="C8" s="70"/>
      <c r="D8" s="70">
        <v>2021</v>
      </c>
      <c r="E8" s="70" t="s">
        <v>85</v>
      </c>
      <c r="F8" s="70" t="s">
        <v>85</v>
      </c>
      <c r="G8" s="70" t="s">
        <v>376</v>
      </c>
      <c r="H8" s="70">
        <v>2023</v>
      </c>
    </row>
    <row r="9" spans="1:8" ht="11.25">
      <c r="A9" s="70"/>
      <c r="B9" s="70"/>
      <c r="C9" s="70"/>
      <c r="D9" s="70" t="s">
        <v>53</v>
      </c>
      <c r="E9" s="70" t="s">
        <v>53</v>
      </c>
      <c r="F9" s="70" t="s">
        <v>86</v>
      </c>
      <c r="G9" s="70"/>
      <c r="H9" s="70" t="s">
        <v>86</v>
      </c>
    </row>
    <row r="10" spans="1:8" ht="11.25">
      <c r="A10" s="82">
        <v>1</v>
      </c>
      <c r="B10" s="82">
        <v>2</v>
      </c>
      <c r="C10" s="82">
        <v>3</v>
      </c>
      <c r="D10" s="82">
        <v>4</v>
      </c>
      <c r="E10" s="82">
        <v>5</v>
      </c>
      <c r="F10" s="82">
        <v>6</v>
      </c>
      <c r="G10" s="82">
        <v>7</v>
      </c>
      <c r="H10" s="82">
        <v>8</v>
      </c>
    </row>
    <row r="11" spans="1:8" ht="12">
      <c r="A11" s="227" t="s">
        <v>55</v>
      </c>
      <c r="B11" s="353"/>
      <c r="C11" s="228"/>
      <c r="D11" s="229"/>
      <c r="E11" s="229"/>
      <c r="F11" s="229"/>
      <c r="G11" s="229"/>
      <c r="H11" s="230"/>
    </row>
    <row r="12" spans="1:8" ht="12">
      <c r="A12" s="247" t="s">
        <v>43</v>
      </c>
      <c r="B12" s="353"/>
      <c r="C12" s="228"/>
      <c r="D12" s="230"/>
      <c r="E12" s="231"/>
      <c r="F12" s="231"/>
      <c r="G12" s="229"/>
      <c r="H12" s="230"/>
    </row>
    <row r="13" spans="1:10" ht="12.75">
      <c r="A13" s="232" t="s">
        <v>7</v>
      </c>
      <c r="B13" s="353" t="s">
        <v>113</v>
      </c>
      <c r="C13" s="228"/>
      <c r="D13" s="234">
        <f>'FORM 1a-ABR Office'!C1822+'FORM 1a-ABR Office'!C605+'FORM 1a-ABR Office'!C1743+'FORM 1a-ABR Office'!C1666+'FORM 1a-ABR Office'!C1586+'FORM 1a-ABR Office'!C1508+'FORM 1a-ABR Office'!C1428+'FORM 1a-ABR Office'!C1351+'FORM 1a-ABR Office'!C1272+'FORM 1a-ABR Office'!C1194+'FORM 1a-ABR Office'!C1115+'FORM 1a-ABR Office'!C1036+'FORM 1a-ABR Office'!C957+'FORM 1a-ABR Office'!C879+'FORM 1a-ABR Office'!C801+'FORM 1a-ABR Office'!C723+'FORM 1a-ABR Office'!C18+'FORM 1a-ABR Office'!C139</f>
        <v>42987583.69</v>
      </c>
      <c r="E13" s="364">
        <f>'FORM 1a-ABR Office'!D1822+'FORM 1a-ABR Office'!D605+'FORM 1a-ABR Office'!D1743+'FORM 1a-ABR Office'!D1666+'FORM 1a-ABR Office'!D1586+'FORM 1a-ABR Office'!D1508+'FORM 1a-ABR Office'!D1428+'FORM 1a-ABR Office'!D1351+'FORM 1a-ABR Office'!D1272+'FORM 1a-ABR Office'!D1194+'FORM 1a-ABR Office'!D1115+'FORM 1a-ABR Office'!D1036+'FORM 1a-ABR Office'!D957+'FORM 1a-ABR Office'!D879+'FORM 1a-ABR Office'!D801+'FORM 1a-ABR Office'!D723+'FORM 1a-ABR Office'!D18+'FORM 1a-ABR Office'!D139</f>
        <v>22063317.91</v>
      </c>
      <c r="F13" s="364">
        <f>'FORM 1a-ABR Office'!E1822+'FORM 1a-ABR Office'!E605+'FORM 1a-ABR Office'!E1743+'FORM 1a-ABR Office'!E1666+'FORM 1a-ABR Office'!E1586+'FORM 1a-ABR Office'!E1508+'FORM 1a-ABR Office'!E1428+'FORM 1a-ABR Office'!E1351+'FORM 1a-ABR Office'!E1272+'FORM 1a-ABR Office'!E1194+'FORM 1a-ABR Office'!E1115+'FORM 1a-ABR Office'!E1036+'FORM 1a-ABR Office'!E957+'FORM 1a-ABR Office'!E879+'FORM 1a-ABR Office'!E801+'FORM 1a-ABR Office'!E723+'FORM 1a-ABR Office'!E18+'FORM 1a-ABR Office'!E139+'FORM 1a-ABR Office'!E295+'FORM 1a-ABR Office'!E374+'FORM 1a-ABR Office'!E451+'FORM 1a-ABR Office'!E528</f>
        <v>26856086.09</v>
      </c>
      <c r="G13" s="364">
        <f>'FORM 1a-ABR Office'!F1822+'FORM 1a-ABR Office'!F605+'FORM 1a-ABR Office'!F1743+'FORM 1a-ABR Office'!F1666+'FORM 1a-ABR Office'!F1586+'FORM 1a-ABR Office'!F1508+'FORM 1a-ABR Office'!F1428+'FORM 1a-ABR Office'!F1351+'FORM 1a-ABR Office'!F1272+'FORM 1a-ABR Office'!F1194+'FORM 1a-ABR Office'!F1115+'FORM 1a-ABR Office'!F1036+'FORM 1a-ABR Office'!F957+'FORM 1a-ABR Office'!F879+'FORM 1a-ABR Office'!F801+'FORM 1a-ABR Office'!F723+'FORM 1a-ABR Office'!F18+'FORM 1a-ABR Office'!F139+'FORM 1a-ABR Office'!F295+'FORM 1a-ABR Office'!F374+'FORM 1a-ABR Office'!F451+'FORM 1a-ABR Office'!F528</f>
        <v>48919404</v>
      </c>
      <c r="H13" s="364">
        <f>'FORM 1a-ABR Office'!G1822+'FORM 1a-ABR Office'!G605+'FORM 1a-ABR Office'!G1743+'FORM 1a-ABR Office'!G1666+'FORM 1a-ABR Office'!G1586+'FORM 1a-ABR Office'!G1508+'FORM 1a-ABR Office'!G1428+'FORM 1a-ABR Office'!G1351+'FORM 1a-ABR Office'!G1272+'FORM 1a-ABR Office'!G1194+'FORM 1a-ABR Office'!G1115+'FORM 1a-ABR Office'!G1036+'FORM 1a-ABR Office'!G957+'FORM 1a-ABR Office'!G879+'FORM 1a-ABR Office'!G801+'FORM 1a-ABR Office'!G723+'FORM 1a-ABR Office'!G18+'FORM 1a-ABR Office'!G139+'FORM 1a-ABR Office'!G295+'FORM 1a-ABR Office'!G374+'FORM 1a-ABR Office'!G451+'FORM 1a-ABR Office'!G528</f>
        <v>51586020</v>
      </c>
      <c r="J13" s="120">
        <f>H13+H14</f>
        <v>54635820</v>
      </c>
    </row>
    <row r="14" spans="1:10" ht="12.75">
      <c r="A14" s="232" t="s">
        <v>12</v>
      </c>
      <c r="B14" s="353" t="s">
        <v>114</v>
      </c>
      <c r="C14" s="228"/>
      <c r="D14" s="229">
        <f>'FORM 1a-ABR Office'!C1823+'FORM 1a-ABR Office'!C606+'FORM 1a-ABR Office'!C1116</f>
        <v>2728843</v>
      </c>
      <c r="E14" s="376">
        <f>'FORM 1a-ABR Office'!D1823+'FORM 1a-ABR Office'!D606+'FORM 1a-ABR Office'!D1116</f>
        <v>1356472.5</v>
      </c>
      <c r="F14" s="229">
        <f>'FORM 1a-ABR Office'!E1823+'FORM 1a-ABR Office'!E606+'FORM 1a-ABR Office'!E1116</f>
        <v>1579891.5</v>
      </c>
      <c r="G14" s="229">
        <f>'FORM 1a-ABR Office'!F1823+'FORM 1a-ABR Office'!F606+'FORM 1a-ABR Office'!F1116</f>
        <v>2936364</v>
      </c>
      <c r="H14" s="376">
        <f>'FORM 1a-ABR Office'!G1823+'FORM 1a-ABR Office'!G606+'FORM 1a-ABR Office'!G1116+'FORM 1a-ABR Office'!G296+'FORM 1a-ABR Office'!G375+'FORM 1a-ABR Office'!G452+'FORM 1a-ABR Office'!G529</f>
        <v>3049800</v>
      </c>
      <c r="J14" s="120"/>
    </row>
    <row r="15" spans="1:8" ht="12.75">
      <c r="A15" s="232" t="s">
        <v>93</v>
      </c>
      <c r="B15" s="353" t="s">
        <v>115</v>
      </c>
      <c r="C15" s="228"/>
      <c r="D15" s="229">
        <f>'FORM 1a-ABR Office'!C1824+'FORM 1a-ABR Office'!C1744+'FORM 1a-ABR Office'!C1667+'FORM 1a-ABR Office'!C1587+'FORM 1a-ABR Office'!C1509+'FORM 1a-ABR Office'!C1429+'FORM 1a-ABR Office'!C1352+'FORM 1a-ABR Office'!C1273+'FORM 1a-ABR Office'!C1195+'FORM 1a-ABR Office'!C1117+'FORM 1a-ABR Office'!C1037+'FORM 1a-ABR Office'!C958+'FORM 1a-ABR Office'!C880+'FORM 1a-ABR Office'!C802+'FORM 1a-ABR Office'!C724+'FORM 1a-ABR Office'!C19+'FORM 1a-ABR Office'!C607+'FORM 1a-ABR Office'!C140</f>
        <v>3395504.33</v>
      </c>
      <c r="E15" s="376">
        <f>'FORM 1a-ABR Office'!D1824+'FORM 1a-ABR Office'!D1744+'FORM 1a-ABR Office'!D1667+'FORM 1a-ABR Office'!D1587+'FORM 1a-ABR Office'!D1509+'FORM 1a-ABR Office'!D1429+'FORM 1a-ABR Office'!D1352+'FORM 1a-ABR Office'!D1273+'FORM 1a-ABR Office'!D1195+'FORM 1a-ABR Office'!D1117+'FORM 1a-ABR Office'!D1037+'FORM 1a-ABR Office'!D958+'FORM 1a-ABR Office'!D880+'FORM 1a-ABR Office'!D802+'FORM 1a-ABR Office'!D724+'FORM 1a-ABR Office'!D19+'FORM 1a-ABR Office'!D607+'FORM 1a-ABR Office'!D140</f>
        <v>1686000</v>
      </c>
      <c r="F15" s="376">
        <f>'FORM 1a-ABR Office'!E1824+'FORM 1a-ABR Office'!E1744+'FORM 1a-ABR Office'!E1667+'FORM 1a-ABR Office'!E1587+'FORM 1a-ABR Office'!E1509+'FORM 1a-ABR Office'!E1429+'FORM 1a-ABR Office'!E1352+'FORM 1a-ABR Office'!E1273+'FORM 1a-ABR Office'!E1195+'FORM 1a-ABR Office'!E1117+'FORM 1a-ABR Office'!E1037+'FORM 1a-ABR Office'!E958+'FORM 1a-ABR Office'!E880+'FORM 1a-ABR Office'!E802+'FORM 1a-ABR Office'!E724+'FORM 1a-ABR Office'!E19+'FORM 1a-ABR Office'!E607+'FORM 1a-ABR Office'!E140+'FORM 1a-ABR Office'!E297+'FORM 1a-ABR Office'!E376+'FORM 1a-ABR Office'!E453+'FORM 1a-ABR Office'!E530</f>
        <v>2106000</v>
      </c>
      <c r="G15" s="376">
        <f>'FORM 1a-ABR Office'!F1824+'FORM 1a-ABR Office'!F1744+'FORM 1a-ABR Office'!F1667+'FORM 1a-ABR Office'!F1587+'FORM 1a-ABR Office'!F1509+'FORM 1a-ABR Office'!F1429+'FORM 1a-ABR Office'!F1352+'FORM 1a-ABR Office'!F1273+'FORM 1a-ABR Office'!F1195+'FORM 1a-ABR Office'!F1117+'FORM 1a-ABR Office'!F1037+'FORM 1a-ABR Office'!F958+'FORM 1a-ABR Office'!F880+'FORM 1a-ABR Office'!F802+'FORM 1a-ABR Office'!F724+'FORM 1a-ABR Office'!F19+'FORM 1a-ABR Office'!F607+'FORM 1a-ABR Office'!F140+'FORM 1a-ABR Office'!F297+'FORM 1a-ABR Office'!F376+'FORM 1a-ABR Office'!F453+'FORM 1a-ABR Office'!F530</f>
        <v>3792000</v>
      </c>
      <c r="H15" s="376">
        <f>'FORM 1a-ABR Office'!G1824+'FORM 1a-ABR Office'!G1744+'FORM 1a-ABR Office'!G1667+'FORM 1a-ABR Office'!G1587+'FORM 1a-ABR Office'!G1509+'FORM 1a-ABR Office'!G1429+'FORM 1a-ABR Office'!G1352+'FORM 1a-ABR Office'!G1273+'FORM 1a-ABR Office'!G1195+'FORM 1a-ABR Office'!G1117+'FORM 1a-ABR Office'!G1037+'FORM 1a-ABR Office'!G958+'FORM 1a-ABR Office'!G880+'FORM 1a-ABR Office'!G802+'FORM 1a-ABR Office'!G724+'FORM 1a-ABR Office'!G19+'FORM 1a-ABR Office'!G607+'FORM 1a-ABR Office'!G140+'FORM 1a-ABR Office'!G297+'FORM 1a-ABR Office'!G376+'FORM 1a-ABR Office'!G453+'FORM 1a-ABR Office'!G530</f>
        <v>3864000</v>
      </c>
    </row>
    <row r="16" spans="1:8" ht="12.75">
      <c r="A16" s="232" t="s">
        <v>42</v>
      </c>
      <c r="B16" s="353" t="s">
        <v>115</v>
      </c>
      <c r="C16" s="228"/>
      <c r="D16" s="234">
        <f>'FORM 1a-ABR Office'!C20+'FORM 1a-ABR Office'!C725+'FORM 1a-ABR Office'!C803+'FORM 1a-ABR Office'!C881+'FORM 1a-ABR Office'!C959+'FORM 1a-ABR Office'!C1038+'FORM 1a-ABR Office'!C1118+'FORM 1a-ABR Office'!C1196+'FORM 1a-ABR Office'!C1274+'FORM 1a-ABR Office'!C1353+'FORM 1a-ABR Office'!C1430+'FORM 1a-ABR Office'!C1510+'FORM 1a-ABR Office'!C1588+'FORM 1a-ABR Office'!C1668+'FORM 1a-ABR Office'!C1745+'FORM 1a-ABR Office'!C141</f>
        <v>1829625</v>
      </c>
      <c r="E16" s="364">
        <f>'FORM 1a-ABR Office'!D20+'FORM 1a-ABR Office'!D725+'FORM 1a-ABR Office'!D803+'FORM 1a-ABR Office'!D881+'FORM 1a-ABR Office'!D959+'FORM 1a-ABR Office'!D1038+'FORM 1a-ABR Office'!D1118+'FORM 1a-ABR Office'!D1196+'FORM 1a-ABR Office'!D1274+'FORM 1a-ABR Office'!D1353+'FORM 1a-ABR Office'!D1430+'FORM 1a-ABR Office'!D1510+'FORM 1a-ABR Office'!D1588+'FORM 1a-ABR Office'!D1668+'FORM 1a-ABR Office'!D1745+'FORM 1a-ABR Office'!D141+'FORM 1a-ABR Office'!D298+'FORM 1a-ABR Office'!D377+'FORM 1a-ABR Office'!D454+'FORM 1a-ABR Office'!D531</f>
        <v>913218.75</v>
      </c>
      <c r="F16" s="364">
        <f>'FORM 1a-ABR Office'!E20+'FORM 1a-ABR Office'!E725+'FORM 1a-ABR Office'!E803+'FORM 1a-ABR Office'!E881+'FORM 1a-ABR Office'!E959+'FORM 1a-ABR Office'!E1038+'FORM 1a-ABR Office'!E1118+'FORM 1a-ABR Office'!E1196+'FORM 1a-ABR Office'!E1274+'FORM 1a-ABR Office'!E1353+'FORM 1a-ABR Office'!E1430+'FORM 1a-ABR Office'!E1510+'FORM 1a-ABR Office'!E1588+'FORM 1a-ABR Office'!E1668+'FORM 1a-ABR Office'!E1745+'FORM 1a-ABR Office'!E141+'FORM 1a-ABR Office'!E298+'FORM 1a-ABR Office'!E377+'FORM 1a-ABR Office'!E454+'FORM 1a-ABR Office'!E531</f>
        <v>948281.25</v>
      </c>
      <c r="G16" s="364">
        <f>'FORM 1a-ABR Office'!F20+'FORM 1a-ABR Office'!F725+'FORM 1a-ABR Office'!F803+'FORM 1a-ABR Office'!F881+'FORM 1a-ABR Office'!F959+'FORM 1a-ABR Office'!F1038+'FORM 1a-ABR Office'!F1118+'FORM 1a-ABR Office'!F1196+'FORM 1a-ABR Office'!F1274+'FORM 1a-ABR Office'!F1353+'FORM 1a-ABR Office'!F1430+'FORM 1a-ABR Office'!F1510+'FORM 1a-ABR Office'!F1588+'FORM 1a-ABR Office'!F1668+'FORM 1a-ABR Office'!F1745+'FORM 1a-ABR Office'!F141+'FORM 1a-ABR Office'!F298+'FORM 1a-ABR Office'!F377+'FORM 1a-ABR Office'!F454+'FORM 1a-ABR Office'!F531</f>
        <v>1861500</v>
      </c>
      <c r="H16" s="364">
        <f>'FORM 1a-ABR Office'!G20+'FORM 1a-ABR Office'!G725+'FORM 1a-ABR Office'!G803+'FORM 1a-ABR Office'!G881+'FORM 1a-ABR Office'!G959+'FORM 1a-ABR Office'!G1038+'FORM 1a-ABR Office'!G1118+'FORM 1a-ABR Office'!G1196+'FORM 1a-ABR Office'!G1274+'FORM 1a-ABR Office'!G1353+'FORM 1a-ABR Office'!G1430+'FORM 1a-ABR Office'!G1510+'FORM 1a-ABR Office'!G1588+'FORM 1a-ABR Office'!G1668+'FORM 1a-ABR Office'!G1745+'FORM 1a-ABR Office'!G141+'FORM 1a-ABR Office'!G298+'FORM 1a-ABR Office'!G377+'FORM 1a-ABR Office'!G454+'FORM 1a-ABR Office'!G531</f>
        <v>1861500</v>
      </c>
    </row>
    <row r="17" spans="1:8" ht="12.75">
      <c r="A17" s="232" t="s">
        <v>3</v>
      </c>
      <c r="B17" s="353" t="s">
        <v>159</v>
      </c>
      <c r="C17" s="228"/>
      <c r="D17" s="234">
        <f>'FORM 1a-ABR Office'!C1746+'FORM 1a-ABR Office'!C1669+'FORM 1a-ABR Office'!C1589+'FORM 1a-ABR Office'!C1511+'FORM 1a-ABR Office'!C1431+'FORM 1a-ABR Office'!C1354+'FORM 1a-ABR Office'!C1275+'FORM 1a-ABR Office'!C1197+'FORM 1a-ABR Office'!C1119+'FORM 1a-ABR Office'!C1039+'FORM 1a-ABR Office'!C960+'FORM 1a-ABR Office'!C882+'FORM 1a-ABR Office'!C804+'FORM 1a-ABR Office'!C21+'FORM 1a-ABR Office'!C142+'FORM 1a-ABR Office'!C726</f>
        <v>1737825</v>
      </c>
      <c r="E17" s="364">
        <f>'FORM 1a-ABR Office'!D1746+'FORM 1a-ABR Office'!D1669+'FORM 1a-ABR Office'!D1589+'FORM 1a-ABR Office'!D1511+'FORM 1a-ABR Office'!D1431+'FORM 1a-ABR Office'!D1354+'FORM 1a-ABR Office'!D1275+'FORM 1a-ABR Office'!D1197+'FORM 1a-ABR Office'!D1119+'FORM 1a-ABR Office'!D1039+'FORM 1a-ABR Office'!D960+'FORM 1a-ABR Office'!D882+'FORM 1a-ABR Office'!D804+'FORM 1a-ABR Office'!D21+'FORM 1a-ABR Office'!D142+'FORM 1a-ABR Office'!D726</f>
        <v>856140.22</v>
      </c>
      <c r="F17" s="234">
        <f>'FORM 1a-ABR Office'!E1746+'FORM 1a-ABR Office'!E1669+'FORM 1a-ABR Office'!E1589+'FORM 1a-ABR Office'!E1511+'FORM 1a-ABR Office'!E1431+'FORM 1a-ABR Office'!E1354+'FORM 1a-ABR Office'!E1275+'FORM 1a-ABR Office'!E1197+'FORM 1a-ABR Office'!E1119+'FORM 1a-ABR Office'!E1039+'FORM 1a-ABR Office'!E960+'FORM 1a-ABR Office'!E882+'FORM 1a-ABR Office'!E804+'FORM 1a-ABR Office'!E21+'FORM 1a-ABR Office'!E142+'FORM 1a-ABR Office'!E726</f>
        <v>913559.78</v>
      </c>
      <c r="G17" s="234">
        <f>'FORM 1a-ABR Office'!F1746+'FORM 1a-ABR Office'!F1669+'FORM 1a-ABR Office'!F1589+'FORM 1a-ABR Office'!F1511+'FORM 1a-ABR Office'!F1431+'FORM 1a-ABR Office'!F1354+'FORM 1a-ABR Office'!F1275+'FORM 1a-ABR Office'!F1197+'FORM 1a-ABR Office'!F1119+'FORM 1a-ABR Office'!F1039+'FORM 1a-ABR Office'!F960+'FORM 1a-ABR Office'!F882+'FORM 1a-ABR Office'!F804+'FORM 1a-ABR Office'!F21+'FORM 1a-ABR Office'!F142+'FORM 1a-ABR Office'!F726</f>
        <v>1769700</v>
      </c>
      <c r="H17" s="364">
        <f>'FORM 1a-ABR Office'!G1746+'FORM 1a-ABR Office'!G1669+'FORM 1a-ABR Office'!G1589+'FORM 1a-ABR Office'!G1511+'FORM 1a-ABR Office'!G1431+'FORM 1a-ABR Office'!G1354+'FORM 1a-ABR Office'!G1275+'FORM 1a-ABR Office'!G1197+'FORM 1a-ABR Office'!G1119+'FORM 1a-ABR Office'!G1039+'FORM 1a-ABR Office'!G960+'FORM 1a-ABR Office'!G882+'FORM 1a-ABR Office'!G804+'FORM 1a-ABR Office'!G21+'FORM 1a-ABR Office'!G142+'FORM 1a-ABR Office'!G726</f>
        <v>1683000</v>
      </c>
    </row>
    <row r="18" spans="1:10" ht="12.75">
      <c r="A18" s="232" t="s">
        <v>18</v>
      </c>
      <c r="B18" s="353" t="s">
        <v>116</v>
      </c>
      <c r="C18" s="234"/>
      <c r="D18" s="234">
        <f>'FORM 1a-ABR Office'!C22+'FORM 1a-ABR Office'!C727+'FORM 1a-ABR Office'!C805+'FORM 1a-ABR Office'!C883+'FORM 1a-ABR Office'!C961+'FORM 1a-ABR Office'!C1040+'FORM 1a-ABR Office'!C1120+'FORM 1a-ABR Office'!C1198+'FORM 1a-ABR Office'!C1276+'FORM 1a-ABR Office'!C1355+'FORM 1a-ABR Office'!C1432+'FORM 1a-ABR Office'!C1512+'FORM 1a-ABR Office'!C1590+'FORM 1a-ABR Office'!C1670+'FORM 1a-ABR Office'!C1747+'FORM 1a-ABR Office'!C1825+'FORM 1a-ABR Office'!C609+'FORM 1a-ABR Office'!C143</f>
        <v>707923.39</v>
      </c>
      <c r="E18" s="364">
        <f>'FORM 1a-ABR Office'!D22+'FORM 1a-ABR Office'!D727+'FORM 1a-ABR Office'!D805+'FORM 1a-ABR Office'!D883+'FORM 1a-ABR Office'!D961+'FORM 1a-ABR Office'!D1040+'FORM 1a-ABR Office'!D1120+'FORM 1a-ABR Office'!D1198+'FORM 1a-ABR Office'!D1276+'FORM 1a-ABR Office'!D1355+'FORM 1a-ABR Office'!D1432+'FORM 1a-ABR Office'!D1512+'FORM 1a-ABR Office'!D1590+'FORM 1a-ABR Office'!D1670+'FORM 1a-ABR Office'!D1747+'FORM 1a-ABR Office'!D1825+'FORM 1a-ABR Office'!D609+'FORM 1a-ABR Office'!D143+'FORM 1a-ABR Office'!D299+'FORM 1a-ABR Office'!D378+'FORM 1a-ABR Office'!D455+'FORM 1a-ABR Office'!D532</f>
        <v>822000</v>
      </c>
      <c r="F18" s="364">
        <f>'FORM 1a-ABR Office'!E22+'FORM 1a-ABR Office'!E727+'FORM 1a-ABR Office'!E805+'FORM 1a-ABR Office'!E883+'FORM 1a-ABR Office'!E961+'FORM 1a-ABR Office'!E1040+'FORM 1a-ABR Office'!E1120+'FORM 1a-ABR Office'!E1198+'FORM 1a-ABR Office'!E1276+'FORM 1a-ABR Office'!E1355+'FORM 1a-ABR Office'!E1432+'FORM 1a-ABR Office'!E1512+'FORM 1a-ABR Office'!E1590+'FORM 1a-ABR Office'!E1670+'FORM 1a-ABR Office'!E1747+'FORM 1a-ABR Office'!E1825+'FORM 1a-ABR Office'!E609+'FORM 1a-ABR Office'!E143+'FORM 1a-ABR Office'!E299+'FORM 1a-ABR Office'!E378+'FORM 1a-ABR Office'!E455+'FORM 1a-ABR Office'!E532</f>
        <v>126000</v>
      </c>
      <c r="G18" s="364">
        <f>'FORM 1a-ABR Office'!F22+'FORM 1a-ABR Office'!F727+'FORM 1a-ABR Office'!F805+'FORM 1a-ABR Office'!F883+'FORM 1a-ABR Office'!F961+'FORM 1a-ABR Office'!F1040+'FORM 1a-ABR Office'!F1120+'FORM 1a-ABR Office'!F1198+'FORM 1a-ABR Office'!F1276+'FORM 1a-ABR Office'!F1355+'FORM 1a-ABR Office'!F1432+'FORM 1a-ABR Office'!F1512+'FORM 1a-ABR Office'!F1590+'FORM 1a-ABR Office'!F1670+'FORM 1a-ABR Office'!F1747+'FORM 1a-ABR Office'!F1825+'FORM 1a-ABR Office'!F609+'FORM 1a-ABR Office'!F143+'FORM 1a-ABR Office'!F299+'FORM 1a-ABR Office'!F378+'FORM 1a-ABR Office'!F455+'FORM 1a-ABR Office'!F532</f>
        <v>948000</v>
      </c>
      <c r="H18" s="364">
        <f>'FORM 1a-ABR Office'!G22+'FORM 1a-ABR Office'!G727+'FORM 1a-ABR Office'!G805+'FORM 1a-ABR Office'!G883+'FORM 1a-ABR Office'!G961+'FORM 1a-ABR Office'!G1040+'FORM 1a-ABR Office'!G1120+'FORM 1a-ABR Office'!G1198+'FORM 1a-ABR Office'!G1276+'FORM 1a-ABR Office'!G1355+'FORM 1a-ABR Office'!G1432+'FORM 1a-ABR Office'!G1512+'FORM 1a-ABR Office'!G1590+'FORM 1a-ABR Office'!G1670+'FORM 1a-ABR Office'!G1747+'FORM 1a-ABR Office'!G1825+'FORM 1a-ABR Office'!G609+'FORM 1a-ABR Office'!G143+'FORM 1a-ABR Office'!G299+'FORM 1a-ABR Office'!G378+'FORM 1a-ABR Office'!G455+'FORM 1a-ABR Office'!G532</f>
        <v>966000</v>
      </c>
      <c r="J18" s="120"/>
    </row>
    <row r="19" spans="1:10" ht="12.75">
      <c r="A19" s="232" t="s">
        <v>175</v>
      </c>
      <c r="B19" s="353" t="s">
        <v>176</v>
      </c>
      <c r="C19" s="234"/>
      <c r="D19" s="234">
        <f>'FORM 1a-ABR Office'!C1826+'FORM 1a-ABR Office'!C1748+'FORM 1a-ABR Office'!C1671+'FORM 1a-ABR Office'!C1591+'FORM 1a-ABR Office'!C1513+'FORM 1a-ABR Office'!C1433+'FORM 1a-ABR Office'!C1356+'FORM 1a-ABR Office'!C1277+'FORM 1a-ABR Office'!C1199+'FORM 1a-ABR Office'!C1121+'FORM 1a-ABR Office'!C1041+'FORM 1a-ABR Office'!C962+'FORM 1a-ABR Office'!C884+'FORM 1a-ABR Office'!C806+'FORM 1a-ABR Office'!C728+'FORM 1a-ABR Office'!C23+'FORM 1a-ABR Office'!C610+'FORM 1a-ABR Office'!C144</f>
        <v>695000</v>
      </c>
      <c r="E19" s="364">
        <f>'FORM 1a-ABR Office'!D1826+'FORM 1a-ABR Office'!D1748+'FORM 1a-ABR Office'!D1671+'FORM 1a-ABR Office'!D1591+'FORM 1a-ABR Office'!D1513+'FORM 1a-ABR Office'!D1433+'FORM 1a-ABR Office'!D1356+'FORM 1a-ABR Office'!D1277+'FORM 1a-ABR Office'!D1199+'FORM 1a-ABR Office'!D1121+'FORM 1a-ABR Office'!D1041+'FORM 1a-ABR Office'!D962+'FORM 1a-ABR Office'!D884+'FORM 1a-ABR Office'!D806+'FORM 1a-ABR Office'!D728+'FORM 1a-ABR Office'!D23+'FORM 1a-ABR Office'!D610+'FORM 1a-ABR Office'!D144+'FORM 1a-ABR Office'!D300+'FORM 1a-ABR Office'!D379+'FORM 1a-ABR Office'!D456+'FORM 1a-ABR Office'!D533</f>
        <v>0</v>
      </c>
      <c r="F19" s="364">
        <f>'FORM 1a-ABR Office'!E1826+'FORM 1a-ABR Office'!E1748+'FORM 1a-ABR Office'!E1671+'FORM 1a-ABR Office'!E1591+'FORM 1a-ABR Office'!E1513+'FORM 1a-ABR Office'!E1433+'FORM 1a-ABR Office'!E1356+'FORM 1a-ABR Office'!E1277+'FORM 1a-ABR Office'!E1199+'FORM 1a-ABR Office'!E1121+'FORM 1a-ABR Office'!E1041+'FORM 1a-ABR Office'!E962+'FORM 1a-ABR Office'!E884+'FORM 1a-ABR Office'!E806+'FORM 1a-ABR Office'!E728+'FORM 1a-ABR Office'!E23+'FORM 1a-ABR Office'!E610+'FORM 1a-ABR Office'!E144+'FORM 1a-ABR Office'!E300+'FORM 1a-ABR Office'!E379+'FORM 1a-ABR Office'!E456+'FORM 1a-ABR Office'!E533</f>
        <v>790000</v>
      </c>
      <c r="G19" s="364">
        <f>'FORM 1a-ABR Office'!F1826+'FORM 1a-ABR Office'!F1748+'FORM 1a-ABR Office'!F1671+'FORM 1a-ABR Office'!F1591+'FORM 1a-ABR Office'!F1513+'FORM 1a-ABR Office'!F1433+'FORM 1a-ABR Office'!F1356+'FORM 1a-ABR Office'!F1277+'FORM 1a-ABR Office'!F1199+'FORM 1a-ABR Office'!F1121+'FORM 1a-ABR Office'!F1041+'FORM 1a-ABR Office'!F962+'FORM 1a-ABR Office'!F884+'FORM 1a-ABR Office'!F806+'FORM 1a-ABR Office'!F728+'FORM 1a-ABR Office'!F23+'FORM 1a-ABR Office'!F610+'FORM 1a-ABR Office'!F144+'FORM 1a-ABR Office'!F300+'FORM 1a-ABR Office'!F379+'FORM 1a-ABR Office'!F456+'FORM 1a-ABR Office'!F533</f>
        <v>790000</v>
      </c>
      <c r="H19" s="364">
        <f>'FORM 1a-ABR Office'!G1826+'FORM 1a-ABR Office'!G1748+'FORM 1a-ABR Office'!G1671+'FORM 1a-ABR Office'!G1591+'FORM 1a-ABR Office'!G1513+'FORM 1a-ABR Office'!G1433+'FORM 1a-ABR Office'!G1356+'FORM 1a-ABR Office'!G1277+'FORM 1a-ABR Office'!G1199+'FORM 1a-ABR Office'!G1121+'FORM 1a-ABR Office'!G1041+'FORM 1a-ABR Office'!G962+'FORM 1a-ABR Office'!G884+'FORM 1a-ABR Office'!G806+'FORM 1a-ABR Office'!G728+'FORM 1a-ABR Office'!G23+'FORM 1a-ABR Office'!G610+'FORM 1a-ABR Office'!G144+'FORM 1a-ABR Office'!G300+'FORM 1a-ABR Office'!G379+'FORM 1a-ABR Office'!G456+'FORM 1a-ABR Office'!G533</f>
        <v>805000</v>
      </c>
      <c r="J19" s="208"/>
    </row>
    <row r="20" spans="1:8" ht="12.75">
      <c r="A20" s="232" t="s">
        <v>207</v>
      </c>
      <c r="B20" s="353" t="s">
        <v>216</v>
      </c>
      <c r="C20" s="228"/>
      <c r="D20" s="234">
        <f>'FORM 1a-ABR Office'!C1592+'FORM 1a-ABR Office'!C1514</f>
        <v>353404.9</v>
      </c>
      <c r="E20" s="364">
        <f>'FORM 1a-ABR Office'!D1592+'FORM 1a-ABR Office'!D1514</f>
        <v>81022.92</v>
      </c>
      <c r="F20" s="234">
        <f>'FORM 1a-ABR Office'!E1592+'FORM 1a-ABR Office'!E1514</f>
        <v>314977.08</v>
      </c>
      <c r="G20" s="234">
        <f>'FORM 1a-ABR Office'!F1592+'FORM 1a-ABR Office'!F1514</f>
        <v>396000</v>
      </c>
      <c r="H20" s="364">
        <f>'FORM 1a-ABR Office'!G1592+'FORM 1a-ABR Office'!G1514</f>
        <v>468000</v>
      </c>
    </row>
    <row r="21" spans="1:8" ht="12.75">
      <c r="A21" s="232" t="s">
        <v>229</v>
      </c>
      <c r="B21" s="353" t="s">
        <v>231</v>
      </c>
      <c r="C21" s="228"/>
      <c r="D21" s="234">
        <f>'FORM 1a-ABR Office'!C1515</f>
        <v>30600</v>
      </c>
      <c r="E21" s="364">
        <f>'FORM 1a-ABR Office'!D1515</f>
        <v>7650</v>
      </c>
      <c r="F21" s="234">
        <f>'FORM 1a-ABR Office'!E1515</f>
        <v>26550</v>
      </c>
      <c r="G21" s="234">
        <f>'FORM 1a-ABR Office'!F1515</f>
        <v>34200</v>
      </c>
      <c r="H21" s="364">
        <f>'FORM 1a-ABR Office'!G1515</f>
        <v>37800</v>
      </c>
    </row>
    <row r="22" spans="1:8" ht="12.75">
      <c r="A22" s="235" t="s">
        <v>27</v>
      </c>
      <c r="B22" s="356" t="s">
        <v>117</v>
      </c>
      <c r="C22" s="236"/>
      <c r="D22" s="234">
        <f>'FORM 1a-ABR Office'!C24+'FORM 1a-ABR Office'!C729+'FORM 1a-ABR Office'!C807+'FORM 1a-ABR Office'!C885+'FORM 1a-ABR Office'!C963+'FORM 1a-ABR Office'!C1042+'FORM 1a-ABR Office'!C1122+'FORM 1a-ABR Office'!C1200+'FORM 1a-ABR Office'!C1278+'FORM 1a-ABR Office'!C1357+'FORM 1a-ABR Office'!C1434+'FORM 1a-ABR Office'!C1516+'FORM 1a-ABR Office'!C1593+'FORM 1a-ABR Office'!C1672+'FORM 1a-ABR Office'!C1749+'FORM 1a-ABR Office'!C1827+'FORM 1a-ABR Office'!C611+'FORM 1a-ABR Office'!C145</f>
        <v>719000</v>
      </c>
      <c r="E22" s="364">
        <f>'FORM 1a-ABR Office'!D24+'FORM 1a-ABR Office'!D729+'FORM 1a-ABR Office'!D807+'FORM 1a-ABR Office'!D885+'FORM 1a-ABR Office'!D963+'FORM 1a-ABR Office'!D1042+'FORM 1a-ABR Office'!D1122+'FORM 1a-ABR Office'!D1200+'FORM 1a-ABR Office'!D1278+'FORM 1a-ABR Office'!D1357+'FORM 1a-ABR Office'!D1434+'FORM 1a-ABR Office'!D1516+'FORM 1a-ABR Office'!D1593+'FORM 1a-ABR Office'!D1672+'FORM 1a-ABR Office'!D1749+'FORM 1a-ABR Office'!D1827+'FORM 1a-ABR Office'!D611+'FORM 1a-ABR Office'!D145+'FORM 1a-ABR Office'!D301+'FORM 1a-ABR Office'!D380+'FORM 1a-ABR Office'!D457+'FORM 1a-ABR Office'!D534</f>
        <v>0</v>
      </c>
      <c r="F22" s="364">
        <f>'FORM 1a-ABR Office'!E24+'FORM 1a-ABR Office'!E729+'FORM 1a-ABR Office'!E807+'FORM 1a-ABR Office'!E885+'FORM 1a-ABR Office'!E963+'FORM 1a-ABR Office'!E1042+'FORM 1a-ABR Office'!E1122+'FORM 1a-ABR Office'!E1200+'FORM 1a-ABR Office'!E1278+'FORM 1a-ABR Office'!E1357+'FORM 1a-ABR Office'!E1434+'FORM 1a-ABR Office'!E1516+'FORM 1a-ABR Office'!E1593+'FORM 1a-ABR Office'!E1672+'FORM 1a-ABR Office'!E1749+'FORM 1a-ABR Office'!E1827+'FORM 1a-ABR Office'!E611+'FORM 1a-ABR Office'!E145+'FORM 1a-ABR Office'!E301+'FORM 1a-ABR Office'!E380+'FORM 1a-ABR Office'!E457+'FORM 1a-ABR Office'!E534</f>
        <v>790000</v>
      </c>
      <c r="G22" s="364">
        <f>'FORM 1a-ABR Office'!F24+'FORM 1a-ABR Office'!F729+'FORM 1a-ABR Office'!F807+'FORM 1a-ABR Office'!F885+'FORM 1a-ABR Office'!F963+'FORM 1a-ABR Office'!F1042+'FORM 1a-ABR Office'!F1122+'FORM 1a-ABR Office'!F1200+'FORM 1a-ABR Office'!F1278+'FORM 1a-ABR Office'!F1357+'FORM 1a-ABR Office'!F1434+'FORM 1a-ABR Office'!F1516+'FORM 1a-ABR Office'!F1593+'FORM 1a-ABR Office'!F1672+'FORM 1a-ABR Office'!F1749+'FORM 1a-ABR Office'!F1827+'FORM 1a-ABR Office'!F611+'FORM 1a-ABR Office'!F145+'FORM 1a-ABR Office'!F301+'FORM 1a-ABR Office'!F380+'FORM 1a-ABR Office'!F457+'FORM 1a-ABR Office'!F534</f>
        <v>790000</v>
      </c>
      <c r="H22" s="364">
        <f>'FORM 1a-ABR Office'!G24+'FORM 1a-ABR Office'!G729+'FORM 1a-ABR Office'!G807+'FORM 1a-ABR Office'!G885+'FORM 1a-ABR Office'!G963+'FORM 1a-ABR Office'!G1042+'FORM 1a-ABR Office'!G1122+'FORM 1a-ABR Office'!G1200+'FORM 1a-ABR Office'!G1278+'FORM 1a-ABR Office'!G1357+'FORM 1a-ABR Office'!G1434+'FORM 1a-ABR Office'!G1516+'FORM 1a-ABR Office'!G1593+'FORM 1a-ABR Office'!G1672+'FORM 1a-ABR Office'!G1749+'FORM 1a-ABR Office'!G1827+'FORM 1a-ABR Office'!G611+'FORM 1a-ABR Office'!G145+'FORM 1a-ABR Office'!G301+'FORM 1a-ABR Office'!G380+'FORM 1a-ABR Office'!G457+'FORM 1a-ABR Office'!G534</f>
        <v>805000</v>
      </c>
    </row>
    <row r="23" spans="1:8" ht="12.75">
      <c r="A23" s="232" t="s">
        <v>96</v>
      </c>
      <c r="B23" s="353" t="s">
        <v>118</v>
      </c>
      <c r="C23" s="233"/>
      <c r="D23" s="234">
        <f>'FORM 1a-ABR Office'!C25+'FORM 1a-ABR Office'!C730+'FORM 1a-ABR Office'!C808+'FORM 1a-ABR Office'!C886+'FORM 1a-ABR Office'!C964+'FORM 1a-ABR Office'!C1043+'FORM 1a-ABR Office'!C1123+'FORM 1a-ABR Office'!C1201+'FORM 1a-ABR Office'!C1279+'FORM 1a-ABR Office'!C1358+'FORM 1a-ABR Office'!C1435+'FORM 1a-ABR Office'!C1517+'FORM 1a-ABR Office'!C1594+'FORM 1a-ABR Office'!C1673+'FORM 1a-ABR Office'!C1750+'FORM 1a-ABR Office'!C1828+'FORM 1a-ABR Office'!C612+'FORM 1a-ABR Office'!C146</f>
        <v>3724759.4</v>
      </c>
      <c r="E23" s="364">
        <f>'FORM 1a-ABR Office'!D25+'FORM 1a-ABR Office'!D730+'FORM 1a-ABR Office'!D808+'FORM 1a-ABR Office'!D886+'FORM 1a-ABR Office'!D964+'FORM 1a-ABR Office'!D1043+'FORM 1a-ABR Office'!D1123+'FORM 1a-ABR Office'!D1201+'FORM 1a-ABR Office'!D1279+'FORM 1a-ABR Office'!D1358+'FORM 1a-ABR Office'!D1435+'FORM 1a-ABR Office'!D1517+'FORM 1a-ABR Office'!D1594+'FORM 1a-ABR Office'!D1673+'FORM 1a-ABR Office'!D1750+'FORM 1a-ABR Office'!D1828+'FORM 1a-ABR Office'!D612+'FORM 1a-ABR Office'!D146+'FORM 1a-ABR Office'!D302+'FORM 1a-ABR Office'!D381+'FORM 1a-ABR Office'!D458+'FORM 1a-ABR Office'!D535</f>
        <v>0</v>
      </c>
      <c r="F23" s="364">
        <f>'FORM 1a-ABR Office'!E25+'FORM 1a-ABR Office'!E730+'FORM 1a-ABR Office'!E808+'FORM 1a-ABR Office'!E886+'FORM 1a-ABR Office'!E964+'FORM 1a-ABR Office'!E1043+'FORM 1a-ABR Office'!E1123+'FORM 1a-ABR Office'!E1201+'FORM 1a-ABR Office'!E1279+'FORM 1a-ABR Office'!E1358+'FORM 1a-ABR Office'!E1435+'FORM 1a-ABR Office'!E1517+'FORM 1a-ABR Office'!E1594+'FORM 1a-ABR Office'!E1673+'FORM 1a-ABR Office'!E1750+'FORM 1a-ABR Office'!E1828+'FORM 1a-ABR Office'!E612+'FORM 1a-ABR Office'!E146+'FORM 1a-ABR Office'!E302+'FORM 1a-ABR Office'!E381+'FORM 1a-ABR Office'!E458+'FORM 1a-ABR Office'!E535</f>
        <v>4321314</v>
      </c>
      <c r="G23" s="364">
        <f>'FORM 1a-ABR Office'!F25+'FORM 1a-ABR Office'!F730+'FORM 1a-ABR Office'!F808+'FORM 1a-ABR Office'!F886+'FORM 1a-ABR Office'!F964+'FORM 1a-ABR Office'!F1043+'FORM 1a-ABR Office'!F1123+'FORM 1a-ABR Office'!F1201+'FORM 1a-ABR Office'!F1279+'FORM 1a-ABR Office'!F1358+'FORM 1a-ABR Office'!F1435+'FORM 1a-ABR Office'!F1517+'FORM 1a-ABR Office'!F1594+'FORM 1a-ABR Office'!F1673+'FORM 1a-ABR Office'!F1750+'FORM 1a-ABR Office'!F1828+'FORM 1a-ABR Office'!F612+'FORM 1a-ABR Office'!F146+'FORM 1a-ABR Office'!F302+'FORM 1a-ABR Office'!F381+'FORM 1a-ABR Office'!F458+'FORM 1a-ABR Office'!F535</f>
        <v>4321314</v>
      </c>
      <c r="H23" s="364">
        <f>'FORM 1a-ABR Office'!G25+'FORM 1a-ABR Office'!G730+'FORM 1a-ABR Office'!G808+'FORM 1a-ABR Office'!G886+'FORM 1a-ABR Office'!G964+'FORM 1a-ABR Office'!G1043+'FORM 1a-ABR Office'!G1123+'FORM 1a-ABR Office'!G1201+'FORM 1a-ABR Office'!G1279+'FORM 1a-ABR Office'!G1358+'FORM 1a-ABR Office'!G1435+'FORM 1a-ABR Office'!G1517+'FORM 1a-ABR Office'!G1594+'FORM 1a-ABR Office'!G1673+'FORM 1a-ABR Office'!G1750+'FORM 1a-ABR Office'!G1828+'FORM 1a-ABR Office'!G612+'FORM 1a-ABR Office'!G146+'FORM 1a-ABR Office'!G302+'FORM 1a-ABR Office'!G381+'FORM 1a-ABR Office'!G458+'FORM 1a-ABR Office'!G535</f>
        <v>4552985</v>
      </c>
    </row>
    <row r="24" spans="1:8" ht="12.75">
      <c r="A24" s="232" t="s">
        <v>236</v>
      </c>
      <c r="B24" s="353" t="s">
        <v>174</v>
      </c>
      <c r="C24" s="233"/>
      <c r="D24" s="364">
        <f>'FORM 1a-ABR Office'!C26+'FORM 1a-ABR Office'!C731+'FORM 1a-ABR Office'!C809+'FORM 1a-ABR Office'!C887+'FORM 1a-ABR Office'!C965+'FORM 1a-ABR Office'!C1044+'FORM 1a-ABR Office'!C1124+'FORM 1a-ABR Office'!C1202+'FORM 1a-ABR Office'!C1280+'FORM 1a-ABR Office'!C1359+'FORM 1a-ABR Office'!C1436+'FORM 1a-ABR Office'!C1518+'FORM 1a-ABR Office'!C1595+'FORM 1a-ABR Office'!C1674+'FORM 1a-ABR Office'!C1751+'FORM 1a-ABR Office'!C1829+'FORM 1a-ABR Office'!C613+'FORM 1a-ABR Office'!C147+'FORM 1a-ABR Office'!C303+'FORM 1a-ABR Office'!C382+'FORM 1a-ABR Office'!C459+'FORM 1a-ABR Office'!C536</f>
        <v>3792124</v>
      </c>
      <c r="E24" s="364">
        <f>'FORM 1a-ABR Office'!D26+'FORM 1a-ABR Office'!D731+'FORM 1a-ABR Office'!D809+'FORM 1a-ABR Office'!D887+'FORM 1a-ABR Office'!D965+'FORM 1a-ABR Office'!D1044+'FORM 1a-ABR Office'!D1124+'FORM 1a-ABR Office'!D1202+'FORM 1a-ABR Office'!D1280+'FORM 1a-ABR Office'!D1359+'FORM 1a-ABR Office'!D1436+'FORM 1a-ABR Office'!D1518+'FORM 1a-ABR Office'!D1595+'FORM 1a-ABR Office'!D1674+'FORM 1a-ABR Office'!D1751+'FORM 1a-ABR Office'!D1829+'FORM 1a-ABR Office'!D613+'FORM 1a-ABR Office'!D147+'FORM 1a-ABR Office'!D303+'FORM 1a-ABR Office'!D382+'FORM 1a-ABR Office'!D459+'FORM 1a-ABR Office'!D536</f>
        <v>3754057</v>
      </c>
      <c r="F24" s="364">
        <f>'FORM 1a-ABR Office'!E26+'FORM 1a-ABR Office'!E731+'FORM 1a-ABR Office'!E809+'FORM 1a-ABR Office'!E887+'FORM 1a-ABR Office'!E965+'FORM 1a-ABR Office'!E1044+'FORM 1a-ABR Office'!E1124+'FORM 1a-ABR Office'!E1202+'FORM 1a-ABR Office'!E1280+'FORM 1a-ABR Office'!E1359+'FORM 1a-ABR Office'!E1436+'FORM 1a-ABR Office'!E1518+'FORM 1a-ABR Office'!E1595+'FORM 1a-ABR Office'!E1674+'FORM 1a-ABR Office'!E1751+'FORM 1a-ABR Office'!E1829+'FORM 1a-ABR Office'!E613+'FORM 1a-ABR Office'!E147+'FORM 1a-ABR Office'!E303+'FORM 1a-ABR Office'!E382+'FORM 1a-ABR Office'!E459+'FORM 1a-ABR Office'!E536</f>
        <v>567257</v>
      </c>
      <c r="G24" s="364">
        <f>'FORM 1a-ABR Office'!F26+'FORM 1a-ABR Office'!F731+'FORM 1a-ABR Office'!F809+'FORM 1a-ABR Office'!F887+'FORM 1a-ABR Office'!F965+'FORM 1a-ABR Office'!F1044+'FORM 1a-ABR Office'!F1124+'FORM 1a-ABR Office'!F1202+'FORM 1a-ABR Office'!F1280+'FORM 1a-ABR Office'!F1359+'FORM 1a-ABR Office'!F1436+'FORM 1a-ABR Office'!F1518+'FORM 1a-ABR Office'!F1595+'FORM 1a-ABR Office'!F1674+'FORM 1a-ABR Office'!F1751+'FORM 1a-ABR Office'!F1829+'FORM 1a-ABR Office'!F613+'FORM 1a-ABR Office'!F147+'FORM 1a-ABR Office'!F303+'FORM 1a-ABR Office'!F382+'FORM 1a-ABR Office'!F459+'FORM 1a-ABR Office'!F536</f>
        <v>4321314</v>
      </c>
      <c r="H24" s="364">
        <f>'FORM 1a-ABR Office'!G26+'FORM 1a-ABR Office'!G731+'FORM 1a-ABR Office'!G809+'FORM 1a-ABR Office'!G887+'FORM 1a-ABR Office'!G965+'FORM 1a-ABR Office'!G1044+'FORM 1a-ABR Office'!G1124+'FORM 1a-ABR Office'!G1202+'FORM 1a-ABR Office'!G1280+'FORM 1a-ABR Office'!G1359+'FORM 1a-ABR Office'!G1436+'FORM 1a-ABR Office'!G1518+'FORM 1a-ABR Office'!G1595+'FORM 1a-ABR Office'!G1674+'FORM 1a-ABR Office'!G1751+'FORM 1a-ABR Office'!G1829+'FORM 1a-ABR Office'!G613+'FORM 1a-ABR Office'!G147+'FORM 1a-ABR Office'!G303+'FORM 1a-ABR Office'!G382+'FORM 1a-ABR Office'!G459+'FORM 1a-ABR Office'!G536</f>
        <v>4552985</v>
      </c>
    </row>
    <row r="25" spans="1:8" ht="12.75">
      <c r="A25" s="232" t="s">
        <v>235</v>
      </c>
      <c r="B25" s="353" t="s">
        <v>119</v>
      </c>
      <c r="C25" s="228"/>
      <c r="D25" s="364">
        <f>'FORM 1a-ABR Office'!C27+'FORM 1a-ABR Office'!C732+'FORM 1a-ABR Office'!C810+'FORM 1a-ABR Office'!C888+'FORM 1a-ABR Office'!C966+'FORM 1a-ABR Office'!C1045+'FORM 1a-ABR Office'!C1125+'FORM 1a-ABR Office'!C1203+'FORM 1a-ABR Office'!C1281+'FORM 1a-ABR Office'!C1360+'FORM 1a-ABR Office'!C1437+'FORM 1a-ABR Office'!C1520+'FORM 1a-ABR Office'!C1596+'FORM 1a-ABR Office'!C1675+'FORM 1a-ABR Office'!C1752+'FORM 1a-ABR Office'!C1830+'FORM 1a-ABR Office'!C614+'FORM 1a-ABR Office'!C148+'FORM 1a-ABR Office'!C304+'FORM 1a-ABR Office'!C383+'FORM 1a-ABR Office'!C460+'FORM 1a-ABR Office'!C537</f>
        <v>5318033.959999998</v>
      </c>
      <c r="E25" s="364">
        <f>'FORM 1a-ABR Office'!D27+'FORM 1a-ABR Office'!D732+'FORM 1a-ABR Office'!D810+'FORM 1a-ABR Office'!D888+'FORM 1a-ABR Office'!D966+'FORM 1a-ABR Office'!D1045+'FORM 1a-ABR Office'!D1125+'FORM 1a-ABR Office'!D1203+'FORM 1a-ABR Office'!D1281+'FORM 1a-ABR Office'!D1360+'FORM 1a-ABR Office'!D1437+'FORM 1a-ABR Office'!D1520+'FORM 1a-ABR Office'!D1596+'FORM 1a-ABR Office'!D1675+'FORM 1a-ABR Office'!D1752+'FORM 1a-ABR Office'!D1830+'FORM 1a-ABR Office'!D614+'FORM 1a-ABR Office'!D148+'FORM 1a-ABR Office'!D304+'FORM 1a-ABR Office'!D383+'FORM 1a-ABR Office'!D460+'FORM 1a-ABR Office'!D537</f>
        <v>2651751.79</v>
      </c>
      <c r="F25" s="364">
        <f>'FORM 1a-ABR Office'!E27+'FORM 1a-ABR Office'!E732+'FORM 1a-ABR Office'!E810+'FORM 1a-ABR Office'!E888+'FORM 1a-ABR Office'!E966+'FORM 1a-ABR Office'!E1045+'FORM 1a-ABR Office'!E1125+'FORM 1a-ABR Office'!E1203+'FORM 1a-ABR Office'!E1281+'FORM 1a-ABR Office'!E1360+'FORM 1a-ABR Office'!E1437+'FORM 1a-ABR Office'!E1520+'FORM 1a-ABR Office'!E1596+'FORM 1a-ABR Office'!E1675+'FORM 1a-ABR Office'!E1752+'FORM 1a-ABR Office'!E1830+'FORM 1a-ABR Office'!E614+'FORM 1a-ABR Office'!E148+'FORM 1a-ABR Office'!E304+'FORM 1a-ABR Office'!E383+'FORM 1a-ABR Office'!E460+'FORM 1a-ABR Office'!E537</f>
        <v>3570940.37</v>
      </c>
      <c r="G25" s="364">
        <f>'FORM 1a-ABR Office'!F27+'FORM 1a-ABR Office'!F732+'FORM 1a-ABR Office'!F810+'FORM 1a-ABR Office'!F888+'FORM 1a-ABR Office'!F966+'FORM 1a-ABR Office'!F1045+'FORM 1a-ABR Office'!F1125+'FORM 1a-ABR Office'!F1203+'FORM 1a-ABR Office'!F1281+'FORM 1a-ABR Office'!F1360+'FORM 1a-ABR Office'!F1437+'FORM 1a-ABR Office'!F1520+'FORM 1a-ABR Office'!F1596+'FORM 1a-ABR Office'!F1675+'FORM 1a-ABR Office'!F1752+'FORM 1a-ABR Office'!F1830+'FORM 1a-ABR Office'!F614+'FORM 1a-ABR Office'!F148+'FORM 1a-ABR Office'!F304+'FORM 1a-ABR Office'!F383+'FORM 1a-ABR Office'!F460+'FORM 1a-ABR Office'!F537</f>
        <v>6222692.160000001</v>
      </c>
      <c r="H25" s="364">
        <f>'FORM 1a-ABR Office'!G27+'FORM 1a-ABR Office'!G732+'FORM 1a-ABR Office'!G810+'FORM 1a-ABR Office'!G888+'FORM 1a-ABR Office'!G966+'FORM 1a-ABR Office'!G1045+'FORM 1a-ABR Office'!G1125+'FORM 1a-ABR Office'!G1203+'FORM 1a-ABR Office'!G1281+'FORM 1a-ABR Office'!G1360+'FORM 1a-ABR Office'!G1437+'FORM 1a-ABR Office'!G1520+'FORM 1a-ABR Office'!G1596+'FORM 1a-ABR Office'!G1675+'FORM 1a-ABR Office'!G1752+'FORM 1a-ABR Office'!G1830+'FORM 1a-ABR Office'!G614+'FORM 1a-ABR Office'!G148+'FORM 1a-ABR Office'!G304+'FORM 1a-ABR Office'!G383+'FORM 1a-ABR Office'!G460+'FORM 1a-ABR Office'!G537</f>
        <v>6556298.4</v>
      </c>
    </row>
    <row r="26" spans="1:8" ht="12.75">
      <c r="A26" s="232" t="s">
        <v>28</v>
      </c>
      <c r="B26" s="353" t="s">
        <v>120</v>
      </c>
      <c r="C26" s="228"/>
      <c r="D26" s="364">
        <f>'FORM 1a-ABR Office'!C28+'FORM 1a-ABR Office'!C733+'FORM 1a-ABR Office'!C811+'FORM 1a-ABR Office'!C889+'FORM 1a-ABR Office'!C967+'FORM 1a-ABR Office'!C1046+'FORM 1a-ABR Office'!C1126+'FORM 1a-ABR Office'!C1204+'FORM 1a-ABR Office'!C1282+'FORM 1a-ABR Office'!C1361+'FORM 1a-ABR Office'!C1438+'FORM 1a-ABR Office'!C1521+'FORM 1a-ABR Office'!C1597+'FORM 1a-ABR Office'!C1676+'FORM 1a-ABR Office'!C1753+'FORM 1a-ABR Office'!C1831+'FORM 1a-ABR Office'!C615+'FORM 1a-ABR Office'!C149+'FORM 1a-ABR Office'!C305+'FORM 1a-ABR Office'!C384+'FORM 1a-ABR Office'!C461+'FORM 1a-ABR Office'!C538</f>
        <v>168286.55</v>
      </c>
      <c r="E26" s="364">
        <f>'FORM 1a-ABR Office'!D28+'FORM 1a-ABR Office'!D733+'FORM 1a-ABR Office'!D811+'FORM 1a-ABR Office'!D889+'FORM 1a-ABR Office'!D967+'FORM 1a-ABR Office'!D1046+'FORM 1a-ABR Office'!D1126+'FORM 1a-ABR Office'!D1204+'FORM 1a-ABR Office'!D1282+'FORM 1a-ABR Office'!D1361+'FORM 1a-ABR Office'!D1438+'FORM 1a-ABR Office'!D1521+'FORM 1a-ABR Office'!D1597+'FORM 1a-ABR Office'!D1676+'FORM 1a-ABR Office'!D1753+'FORM 1a-ABR Office'!D1831+'FORM 1a-ABR Office'!D615+'FORM 1a-ABR Office'!D149+'FORM 1a-ABR Office'!D305+'FORM 1a-ABR Office'!D384+'FORM 1a-ABR Office'!D461+'FORM 1a-ABR Office'!D538</f>
        <v>84500</v>
      </c>
      <c r="F26" s="364">
        <f>'FORM 1a-ABR Office'!E28+'FORM 1a-ABR Office'!E733+'FORM 1a-ABR Office'!E811+'FORM 1a-ABR Office'!E889+'FORM 1a-ABR Office'!E967+'FORM 1a-ABR Office'!E1046+'FORM 1a-ABR Office'!E1126+'FORM 1a-ABR Office'!E1204+'FORM 1a-ABR Office'!E1282+'FORM 1a-ABR Office'!E1361+'FORM 1a-ABR Office'!E1438+'FORM 1a-ABR Office'!E1521+'FORM 1a-ABR Office'!E1597+'FORM 1a-ABR Office'!E1676+'FORM 1a-ABR Office'!E1753+'FORM 1a-ABR Office'!E1831+'FORM 1a-ABR Office'!E615+'FORM 1a-ABR Office'!E149+'FORM 1a-ABR Office'!E305+'FORM 1a-ABR Office'!E384+'FORM 1a-ABR Office'!E461+'FORM 1a-ABR Office'!E538</f>
        <v>105100</v>
      </c>
      <c r="G26" s="364">
        <f>'FORM 1a-ABR Office'!F28+'FORM 1a-ABR Office'!F733+'FORM 1a-ABR Office'!F811+'FORM 1a-ABR Office'!F889+'FORM 1a-ABR Office'!F967+'FORM 1a-ABR Office'!F1046+'FORM 1a-ABR Office'!F1126+'FORM 1a-ABR Office'!F1204+'FORM 1a-ABR Office'!F1282+'FORM 1a-ABR Office'!F1361+'FORM 1a-ABR Office'!F1438+'FORM 1a-ABR Office'!F1521+'FORM 1a-ABR Office'!F1597+'FORM 1a-ABR Office'!F1676+'FORM 1a-ABR Office'!F1753+'FORM 1a-ABR Office'!F1831+'FORM 1a-ABR Office'!F615+'FORM 1a-ABR Office'!F149+'FORM 1a-ABR Office'!F305+'FORM 1a-ABR Office'!F384+'FORM 1a-ABR Office'!F461+'FORM 1a-ABR Office'!F538</f>
        <v>189600</v>
      </c>
      <c r="H26" s="364">
        <f>'FORM 1a-ABR Office'!G28+'FORM 1a-ABR Office'!G733+'FORM 1a-ABR Office'!G811+'FORM 1a-ABR Office'!G889+'FORM 1a-ABR Office'!G967+'FORM 1a-ABR Office'!G1046+'FORM 1a-ABR Office'!G1126+'FORM 1a-ABR Office'!G1204+'FORM 1a-ABR Office'!G1282+'FORM 1a-ABR Office'!G1361+'FORM 1a-ABR Office'!G1438+'FORM 1a-ABR Office'!G1521+'FORM 1a-ABR Office'!G1597+'FORM 1a-ABR Office'!G1676+'FORM 1a-ABR Office'!G1753+'FORM 1a-ABR Office'!G1831+'FORM 1a-ABR Office'!G615+'FORM 1a-ABR Office'!G149+'FORM 1a-ABR Office'!G305+'FORM 1a-ABR Office'!G384+'FORM 1a-ABR Office'!G461+'FORM 1a-ABR Office'!G538</f>
        <v>193200</v>
      </c>
    </row>
    <row r="27" spans="1:8" ht="12.75">
      <c r="A27" s="232" t="s">
        <v>69</v>
      </c>
      <c r="B27" s="353" t="s">
        <v>121</v>
      </c>
      <c r="C27" s="228"/>
      <c r="D27" s="364">
        <f>'FORM 1a-ABR Office'!C29+'FORM 1a-ABR Office'!C734+'FORM 1a-ABR Office'!C812+'FORM 1a-ABR Office'!C890+'FORM 1a-ABR Office'!C968+'FORM 1a-ABR Office'!C1047+'FORM 1a-ABR Office'!C1127+'FORM 1a-ABR Office'!C1205+'FORM 1a-ABR Office'!C1283+'FORM 1a-ABR Office'!C1362+'FORM 1a-ABR Office'!C1439+'FORM 1a-ABR Office'!C1522+'FORM 1a-ABR Office'!C1598+'FORM 1a-ABR Office'!C1677+'FORM 1a-ABR Office'!C1754+'FORM 1a-ABR Office'!C1832+'FORM 1a-ABR Office'!C616+'FORM 1a-ABR Office'!C150+'FORM 1a-ABR Office'!C306+'FORM 1a-ABR Office'!C385+'FORM 1a-ABR Office'!C462+'FORM 1a-ABR Office'!C539</f>
        <v>550487.9</v>
      </c>
      <c r="E27" s="364">
        <f>'FORM 1a-ABR Office'!D29+'FORM 1a-ABR Office'!D734+'FORM 1a-ABR Office'!D812+'FORM 1a-ABR Office'!D890+'FORM 1a-ABR Office'!D968+'FORM 1a-ABR Office'!D1047+'FORM 1a-ABR Office'!D1127+'FORM 1a-ABR Office'!D1205+'FORM 1a-ABR Office'!D1283+'FORM 1a-ABR Office'!D1362+'FORM 1a-ABR Office'!D1439+'FORM 1a-ABR Office'!D1522+'FORM 1a-ABR Office'!D1598+'FORM 1a-ABR Office'!D1677+'FORM 1a-ABR Office'!D1754+'FORM 1a-ABR Office'!D1832+'FORM 1a-ABR Office'!D616+'FORM 1a-ABR Office'!D150+'FORM 1a-ABR Office'!D306+'FORM 1a-ABR Office'!D385+'FORM 1a-ABR Office'!D462+'FORM 1a-ABR Office'!D539</f>
        <v>309771.7199999999</v>
      </c>
      <c r="F27" s="364">
        <f>'FORM 1a-ABR Office'!E29+'FORM 1a-ABR Office'!E734+'FORM 1a-ABR Office'!E812+'FORM 1a-ABR Office'!E890+'FORM 1a-ABR Office'!E968+'FORM 1a-ABR Office'!E1047+'FORM 1a-ABR Office'!E1127+'FORM 1a-ABR Office'!E1205+'FORM 1a-ABR Office'!E1283+'FORM 1a-ABR Office'!E1362+'FORM 1a-ABR Office'!E1439+'FORM 1a-ABR Office'!E1522+'FORM 1a-ABR Office'!E1598+'FORM 1a-ABR Office'!E1677+'FORM 1a-ABR Office'!E1754+'FORM 1a-ABR Office'!E1832+'FORM 1a-ABR Office'!E616+'FORM 1a-ABR Office'!E150+'FORM 1a-ABR Office'!E306+'FORM 1a-ABR Office'!E385+'FORM 1a-ABR Office'!E462+'FORM 1a-ABR Office'!E539</f>
        <v>708110.52</v>
      </c>
      <c r="G27" s="364">
        <f>'FORM 1a-ABR Office'!F29+'FORM 1a-ABR Office'!F734+'FORM 1a-ABR Office'!F812+'FORM 1a-ABR Office'!F890+'FORM 1a-ABR Office'!F968+'FORM 1a-ABR Office'!F1047+'FORM 1a-ABR Office'!F1127+'FORM 1a-ABR Office'!F1205+'FORM 1a-ABR Office'!F1283+'FORM 1a-ABR Office'!F1362+'FORM 1a-ABR Office'!F1439+'FORM 1a-ABR Office'!F1522+'FORM 1a-ABR Office'!F1598+'FORM 1a-ABR Office'!F1677+'FORM 1a-ABR Office'!F1754+'FORM 1a-ABR Office'!F1832+'FORM 1a-ABR Office'!F616+'FORM 1a-ABR Office'!F150+'FORM 1a-ABR Office'!F306+'FORM 1a-ABR Office'!F385+'FORM 1a-ABR Office'!F462+'FORM 1a-ABR Office'!F539</f>
        <v>1017882.24</v>
      </c>
      <c r="H27" s="364">
        <f>'FORM 1a-ABR Office'!G29+'FORM 1a-ABR Office'!G734+'FORM 1a-ABR Office'!G812+'FORM 1a-ABR Office'!G890+'FORM 1a-ABR Office'!G968+'FORM 1a-ABR Office'!G1047+'FORM 1a-ABR Office'!G1127+'FORM 1a-ABR Office'!G1205+'FORM 1a-ABR Office'!G1283+'FORM 1a-ABR Office'!G1362+'FORM 1a-ABR Office'!G1439+'FORM 1a-ABR Office'!G1522+'FORM 1a-ABR Office'!G1598+'FORM 1a-ABR Office'!G1677+'FORM 1a-ABR Office'!G1754+'FORM 1a-ABR Office'!G1832+'FORM 1a-ABR Office'!G616+'FORM 1a-ABR Office'!G150+'FORM 1a-ABR Office'!G306+'FORM 1a-ABR Office'!G385+'FORM 1a-ABR Office'!G462+'FORM 1a-ABR Office'!G539</f>
        <v>1219582.71</v>
      </c>
    </row>
    <row r="28" spans="1:8" ht="12.75">
      <c r="A28" s="232" t="s">
        <v>122</v>
      </c>
      <c r="B28" s="353" t="s">
        <v>123</v>
      </c>
      <c r="C28" s="228"/>
      <c r="D28" s="364">
        <f>'FORM 1a-ABR Office'!C30+'FORM 1a-ABR Office'!C735+'FORM 1a-ABR Office'!C813+'FORM 1a-ABR Office'!C891+'FORM 1a-ABR Office'!C969+'FORM 1a-ABR Office'!C1048+'FORM 1a-ABR Office'!C1128+'FORM 1a-ABR Office'!C1206+'FORM 1a-ABR Office'!C1284+'FORM 1a-ABR Office'!C1363+'FORM 1a-ABR Office'!C1440+'FORM 1a-ABR Office'!C1523+'FORM 1a-ABR Office'!C1599+'FORM 1a-ABR Office'!C1678+'FORM 1a-ABR Office'!C1755+'FORM 1a-ABR Office'!C1833+'FORM 1a-ABR Office'!C617+'FORM 1a-ABR Office'!C151+'FORM 1a-ABR Office'!C307+'FORM 1a-ABR Office'!C386+'FORM 1a-ABR Office'!C463+'FORM 1a-ABR Office'!C540</f>
        <v>166600</v>
      </c>
      <c r="E28" s="364">
        <f>'FORM 1a-ABR Office'!D30+'FORM 1a-ABR Office'!D735+'FORM 1a-ABR Office'!D813+'FORM 1a-ABR Office'!D891+'FORM 1a-ABR Office'!D969+'FORM 1a-ABR Office'!D1048+'FORM 1a-ABR Office'!D1128+'FORM 1a-ABR Office'!D1206+'FORM 1a-ABR Office'!D1284+'FORM 1a-ABR Office'!D1363+'FORM 1a-ABR Office'!D1440+'FORM 1a-ABR Office'!D1523+'FORM 1a-ABR Office'!D1599+'FORM 1a-ABR Office'!D1678+'FORM 1a-ABR Office'!D1755+'FORM 1a-ABR Office'!D1833+'FORM 1a-ABR Office'!D617+'FORM 1a-ABR Office'!D151+'FORM 1a-ABR Office'!D307+'FORM 1a-ABR Office'!D386+'FORM 1a-ABR Office'!D463+'FORM 1a-ABR Office'!D540</f>
        <v>83900</v>
      </c>
      <c r="F28" s="364">
        <f>'FORM 1a-ABR Office'!E30+'FORM 1a-ABR Office'!E735+'FORM 1a-ABR Office'!E813+'FORM 1a-ABR Office'!E891+'FORM 1a-ABR Office'!E969+'FORM 1a-ABR Office'!E1048+'FORM 1a-ABR Office'!E1128+'FORM 1a-ABR Office'!E1206+'FORM 1a-ABR Office'!E1284+'FORM 1a-ABR Office'!E1363+'FORM 1a-ABR Office'!E1440+'FORM 1a-ABR Office'!E1523+'FORM 1a-ABR Office'!E1599+'FORM 1a-ABR Office'!E1678+'FORM 1a-ABR Office'!E1755+'FORM 1a-ABR Office'!E1833+'FORM 1a-ABR Office'!E617+'FORM 1a-ABR Office'!E151+'FORM 1a-ABR Office'!E307+'FORM 1a-ABR Office'!E386+'FORM 1a-ABR Office'!E463+'FORM 1a-ABR Office'!E540</f>
        <v>105700</v>
      </c>
      <c r="G28" s="364">
        <f>'FORM 1a-ABR Office'!F30+'FORM 1a-ABR Office'!F735+'FORM 1a-ABR Office'!F813+'FORM 1a-ABR Office'!F891+'FORM 1a-ABR Office'!F969+'FORM 1a-ABR Office'!F1048+'FORM 1a-ABR Office'!F1128+'FORM 1a-ABR Office'!F1206+'FORM 1a-ABR Office'!F1284+'FORM 1a-ABR Office'!F1363+'FORM 1a-ABR Office'!F1440+'FORM 1a-ABR Office'!F1523+'FORM 1a-ABR Office'!F1599+'FORM 1a-ABR Office'!F1678+'FORM 1a-ABR Office'!F1755+'FORM 1a-ABR Office'!F1833+'FORM 1a-ABR Office'!F617+'FORM 1a-ABR Office'!F151+'FORM 1a-ABR Office'!F307+'FORM 1a-ABR Office'!F386+'FORM 1a-ABR Office'!F463+'FORM 1a-ABR Office'!F540</f>
        <v>189600</v>
      </c>
      <c r="H28" s="364">
        <f>'FORM 1a-ABR Office'!G30+'FORM 1a-ABR Office'!G735+'FORM 1a-ABR Office'!G813+'FORM 1a-ABR Office'!G891+'FORM 1a-ABR Office'!G969+'FORM 1a-ABR Office'!G1048+'FORM 1a-ABR Office'!G1128+'FORM 1a-ABR Office'!G1206+'FORM 1a-ABR Office'!G1284+'FORM 1a-ABR Office'!G1363+'FORM 1a-ABR Office'!G1440+'FORM 1a-ABR Office'!G1523+'FORM 1a-ABR Office'!G1599+'FORM 1a-ABR Office'!G1678+'FORM 1a-ABR Office'!G1755+'FORM 1a-ABR Office'!G1833+'FORM 1a-ABR Office'!G617+'FORM 1a-ABR Office'!G151+'FORM 1a-ABR Office'!G307+'FORM 1a-ABR Office'!G386+'FORM 1a-ABR Office'!G463+'FORM 1a-ABR Office'!G540</f>
        <v>193200</v>
      </c>
    </row>
    <row r="29" spans="1:10" ht="12.75">
      <c r="A29" s="232" t="s">
        <v>90</v>
      </c>
      <c r="B29" s="353" t="s">
        <v>124</v>
      </c>
      <c r="C29" s="228"/>
      <c r="D29" s="364">
        <f>'FORM 1a-ABR Office'!C31+'FORM 1a-ABR Office'!C152+'FORM 1a-ABR Office'!C618+'FORM 1a-ABR Office'!C736+'FORM 1a-ABR Office'!C814+'FORM 1a-ABR Office'!C892+'FORM 1a-ABR Office'!C1129+'FORM 1a-ABR Office'!C1285+'FORM 1a-ABR Office'!C1364+'FORM 1a-ABR Office'!C1441+'FORM 1a-ABR Office'!C1679+'FORM 1a-ABR Office'!C1756+'FORM 1a-ABR Office'!C1834+'FORM 1a-ABR Office'!C1600</f>
        <v>0</v>
      </c>
      <c r="E29" s="364">
        <f>'FORM 1a-ABR Office'!D31+'FORM 1a-ABR Office'!D152+'FORM 1a-ABR Office'!D618+'FORM 1a-ABR Office'!D736+'FORM 1a-ABR Office'!D814+'FORM 1a-ABR Office'!D892+'FORM 1a-ABR Office'!D1129+'FORM 1a-ABR Office'!D1285+'FORM 1a-ABR Office'!D1364+'FORM 1a-ABR Office'!D1441+'FORM 1a-ABR Office'!D1679+'FORM 1a-ABR Office'!D1756+'FORM 1a-ABR Office'!D1834+'FORM 1a-ABR Office'!D1600</f>
        <v>1696030.87</v>
      </c>
      <c r="F29" s="364">
        <f>'FORM 1a-ABR Office'!E31+'FORM 1a-ABR Office'!E152+'FORM 1a-ABR Office'!E618+'FORM 1a-ABR Office'!E736+'FORM 1a-ABR Office'!E814+'FORM 1a-ABR Office'!E892+'FORM 1a-ABR Office'!E1129+'FORM 1a-ABR Office'!E1285+'FORM 1a-ABR Office'!E1364+'FORM 1a-ABR Office'!E1441+'FORM 1a-ABR Office'!E1679+'FORM 1a-ABR Office'!E1756+'FORM 1a-ABR Office'!E1834+'FORM 1a-ABR Office'!E1600</f>
        <v>6026506.699999999</v>
      </c>
      <c r="G29" s="364">
        <f>'FORM 1a-ABR Office'!F31+'FORM 1a-ABR Office'!F152+'FORM 1a-ABR Office'!F618+'FORM 1a-ABR Office'!F736+'FORM 1a-ABR Office'!F814+'FORM 1a-ABR Office'!F892+'FORM 1a-ABR Office'!F1129+'FORM 1a-ABR Office'!F1285+'FORM 1a-ABR Office'!F1364+'FORM 1a-ABR Office'!F1441+'FORM 1a-ABR Office'!F1679+'FORM 1a-ABR Office'!F1756+'FORM 1a-ABR Office'!F1834+'FORM 1a-ABR Office'!F1600</f>
        <v>7722537.57</v>
      </c>
      <c r="H29" s="364">
        <f>'FORM 1a-ABR Office'!G31+'FORM 1a-ABR Office'!G152+'FORM 1a-ABR Office'!G618+'FORM 1a-ABR Office'!G736+'FORM 1a-ABR Office'!G814+'FORM 1a-ABR Office'!G892+'FORM 1a-ABR Office'!G1129+'FORM 1a-ABR Office'!G1285+'FORM 1a-ABR Office'!G1364+'FORM 1a-ABR Office'!G1441+'FORM 1a-ABR Office'!G1679+'FORM 1a-ABR Office'!G1756+'FORM 1a-ABR Office'!G1834+'FORM 1a-ABR Office'!G1600</f>
        <v>0</v>
      </c>
      <c r="J29" s="78"/>
    </row>
    <row r="30" spans="1:10" ht="12.75">
      <c r="A30" s="232" t="s">
        <v>351</v>
      </c>
      <c r="B30" s="353" t="s">
        <v>352</v>
      </c>
      <c r="C30" s="228"/>
      <c r="D30" s="364">
        <f>'FORM 1a-ABR Office'!C1524</f>
        <v>0</v>
      </c>
      <c r="E30" s="364">
        <f>'FORM 1a-ABR Office'!D1524</f>
        <v>546289.57</v>
      </c>
      <c r="F30" s="364">
        <f>'FORM 1a-ABR Office'!E1524</f>
        <v>1029171.2300000001</v>
      </c>
      <c r="G30" s="364">
        <f>'FORM 1a-ABR Office'!F1524</f>
        <v>1575460.8</v>
      </c>
      <c r="H30" s="364">
        <f>'FORM 1a-ABR Office'!G1524</f>
        <v>1494417.6</v>
      </c>
      <c r="J30" s="78"/>
    </row>
    <row r="31" spans="1:8" ht="12.75">
      <c r="A31" s="232" t="s">
        <v>13</v>
      </c>
      <c r="B31" s="353" t="s">
        <v>125</v>
      </c>
      <c r="C31" s="228"/>
      <c r="D31" s="364">
        <f>'FORM 1a-ABR Office'!C1519</f>
        <v>12000</v>
      </c>
      <c r="E31" s="364">
        <f>'FORM 1a-ABR Office'!D1519</f>
        <v>3000</v>
      </c>
      <c r="F31" s="364">
        <f>'FORM 1a-ABR Office'!E1519</f>
        <v>9000</v>
      </c>
      <c r="G31" s="364">
        <f>'FORM 1a-ABR Office'!F1519</f>
        <v>12000</v>
      </c>
      <c r="H31" s="364">
        <f>'FORM 1a-ABR Office'!G1519</f>
        <v>12000</v>
      </c>
    </row>
    <row r="32" spans="1:8" ht="12.75">
      <c r="A32" s="232" t="s">
        <v>99</v>
      </c>
      <c r="B32" s="353" t="s">
        <v>125</v>
      </c>
      <c r="C32" s="228"/>
      <c r="D32" s="364">
        <f>'FORM 1a-ABR Office'!C1835+'FORM 1a-ABR Office'!C1757+'FORM 1a-ABR Office'!C1680+'FORM 1a-ABR Office'!C1601+'FORM 1a-ABR Office'!C1525+'FORM 1a-ABR Office'!C1442+'FORM 1a-ABR Office'!C1365+'FORM 1a-ABR Office'!C1286+'FORM 1a-ABR Office'!C1207+'FORM 1a-ABR Office'!C1130+'FORM 1a-ABR Office'!C1049+'FORM 1a-ABR Office'!C970+'FORM 1a-ABR Office'!C893+'FORM 1a-ABR Office'!C815+'FORM 1a-ABR Office'!C737+'FORM 1a-ABR Office'!C32+'FORM 1a-ABR Office'!C619+'FORM 1a-ABR Office'!C153+'FORM 1a-ABR Office'!C309+'FORM 1a-ABR Office'!C388+'FORM 1a-ABR Office'!C465+'FORM 1a-ABR Office'!C542</f>
        <v>1332896.816202</v>
      </c>
      <c r="E32" s="364">
        <f>'FORM 1a-ABR Office'!D1835+'FORM 1a-ABR Office'!D1757+'FORM 1a-ABR Office'!D1680+'FORM 1a-ABR Office'!D1601+'FORM 1a-ABR Office'!D1525+'FORM 1a-ABR Office'!D1442+'FORM 1a-ABR Office'!D1365+'FORM 1a-ABR Office'!D1286+'FORM 1a-ABR Office'!D1207+'FORM 1a-ABR Office'!D1130+'FORM 1a-ABR Office'!D1049+'FORM 1a-ABR Office'!D970+'FORM 1a-ABR Office'!D893+'FORM 1a-ABR Office'!D815+'FORM 1a-ABR Office'!D737+'FORM 1a-ABR Office'!D32+'FORM 1a-ABR Office'!D619+'FORM 1a-ABR Office'!D153+'FORM 1a-ABR Office'!D309+'FORM 1a-ABR Office'!D388+'FORM 1a-ABR Office'!D465+'FORM 1a-ABR Office'!D542</f>
        <v>1002432.78</v>
      </c>
      <c r="F32" s="364">
        <f>'FORM 1a-ABR Office'!E1835+'FORM 1a-ABR Office'!E1757+'FORM 1a-ABR Office'!E1680+'FORM 1a-ABR Office'!E1601+'FORM 1a-ABR Office'!E1525+'FORM 1a-ABR Office'!E1442+'FORM 1a-ABR Office'!E1365+'FORM 1a-ABR Office'!E1286+'FORM 1a-ABR Office'!E1207+'FORM 1a-ABR Office'!E1130+'FORM 1a-ABR Office'!E1049+'FORM 1a-ABR Office'!E970+'FORM 1a-ABR Office'!E893+'FORM 1a-ABR Office'!E815+'FORM 1a-ABR Office'!E737+'FORM 1a-ABR Office'!E32+'FORM 1a-ABR Office'!E619+'FORM 1a-ABR Office'!E153+'FORM 1a-ABR Office'!E309+'FORM 1a-ABR Office'!E388+'FORM 1a-ABR Office'!E465+'FORM 1a-ABR Office'!E542</f>
        <v>1080125.110748</v>
      </c>
      <c r="G32" s="364">
        <f>'FORM 1a-ABR Office'!F1835+'FORM 1a-ABR Office'!F1757+'FORM 1a-ABR Office'!F1680+'FORM 1a-ABR Office'!F1601+'FORM 1a-ABR Office'!F1525+'FORM 1a-ABR Office'!F1442+'FORM 1a-ABR Office'!F1365+'FORM 1a-ABR Office'!F1286+'FORM 1a-ABR Office'!F1207+'FORM 1a-ABR Office'!F1130+'FORM 1a-ABR Office'!F1049+'FORM 1a-ABR Office'!F970+'FORM 1a-ABR Office'!F893+'FORM 1a-ABR Office'!F815+'FORM 1a-ABR Office'!F737+'FORM 1a-ABR Office'!F32+'FORM 1a-ABR Office'!F619+'FORM 1a-ABR Office'!F153+'FORM 1a-ABR Office'!F309+'FORM 1a-ABR Office'!F388+'FORM 1a-ABR Office'!F465+'FORM 1a-ABR Office'!F542</f>
        <v>2082557.8907480002</v>
      </c>
      <c r="H32" s="364">
        <f>'FORM 1a-ABR Office'!G1835+'FORM 1a-ABR Office'!G1757+'FORM 1a-ABR Office'!G1680+'FORM 1a-ABR Office'!G1601+'FORM 1a-ABR Office'!G1525+'FORM 1a-ABR Office'!G1442+'FORM 1a-ABR Office'!G1365+'FORM 1a-ABR Office'!G1286+'FORM 1a-ABR Office'!G1207+'FORM 1a-ABR Office'!G1130+'FORM 1a-ABR Office'!G1049+'FORM 1a-ABR Office'!G970+'FORM 1a-ABR Office'!G893+'FORM 1a-ABR Office'!G815+'FORM 1a-ABR Office'!G737+'FORM 1a-ABR Office'!G32+'FORM 1a-ABR Office'!G619+'FORM 1a-ABR Office'!G153+'FORM 1a-ABR Office'!G309+'FORM 1a-ABR Office'!G388+'FORM 1a-ABR Office'!G465+'FORM 1a-ABR Office'!G542</f>
        <v>2194206.4228610005</v>
      </c>
    </row>
    <row r="33" spans="1:10" ht="12">
      <c r="A33" s="294" t="s">
        <v>193</v>
      </c>
      <c r="B33" s="353"/>
      <c r="C33" s="228"/>
      <c r="D33" s="237">
        <f>SUM(D13:D32)</f>
        <v>70250497.93620199</v>
      </c>
      <c r="E33" s="237">
        <f>SUM(E13:E32)</f>
        <v>37917556.03</v>
      </c>
      <c r="F33" s="237">
        <f>SUM(F13:F32)</f>
        <v>51974570.630748</v>
      </c>
      <c r="G33" s="377">
        <f>SUM(G13:G32)</f>
        <v>89892126.66074799</v>
      </c>
      <c r="H33" s="377">
        <f>SUM(H13:H32)</f>
        <v>86094995.13286099</v>
      </c>
      <c r="I33" s="78"/>
      <c r="J33" s="78">
        <f>H33-G33</f>
        <v>-3797131.5278870016</v>
      </c>
    </row>
    <row r="34" spans="1:10" ht="12">
      <c r="A34" s="247" t="s">
        <v>178</v>
      </c>
      <c r="B34" s="353"/>
      <c r="C34" s="228"/>
      <c r="D34" s="228"/>
      <c r="E34" s="231"/>
      <c r="F34" s="231"/>
      <c r="G34" s="376"/>
      <c r="H34" s="402"/>
      <c r="J34" s="19" t="e">
        <f>H33/#REF!</f>
        <v>#REF!</v>
      </c>
    </row>
    <row r="35" spans="1:10" ht="12">
      <c r="A35" s="240" t="s">
        <v>8</v>
      </c>
      <c r="B35" s="357" t="s">
        <v>126</v>
      </c>
      <c r="C35" s="228"/>
      <c r="D35" s="364">
        <f>'FORM 1a-ABR Office'!C46+'FORM 1a-ABR Office'!C169+'FORM 1a-ABR Office'!C248+'FORM 1a-ABR Office'!C324+'FORM 1a-ABR Office'!C403+'FORM 1a-ABR Office'!C481+'FORM 1a-ABR Office'!C558+'FORM 1a-ABR Office'!C635+'FORM 1a-ABR Office'!C753+'FORM 1a-ABR Office'!C831+'FORM 1a-ABR Office'!C909+'FORM 1a-ABR Office'!C986+'FORM 1a-ABR Office'!C1064+'FORM 1a-ABR Office'!C1143+'FORM 1a-ABR Office'!C1222+'FORM 1a-ABR Office'!C1300+'FORM 1a-ABR Office'!C1377+'FORM 1a-ABR Office'!C1456+'FORM 1a-ABR Office'!C1534+'FORM 1a-ABR Office'!C1614+'FORM 1a-ABR Office'!C1692+'FORM 1a-ABR Office'!C1770+'FORM 1a-ABR Office'!C1849</f>
        <v>2471062</v>
      </c>
      <c r="E35" s="364">
        <f>'FORM 1a-ABR Office'!D46+'FORM 1a-ABR Office'!D169+'FORM 1a-ABR Office'!D248+'FORM 1a-ABR Office'!D324+'FORM 1a-ABR Office'!D403+'FORM 1a-ABR Office'!D481+'FORM 1a-ABR Office'!D558+'FORM 1a-ABR Office'!D635+'FORM 1a-ABR Office'!D753+'FORM 1a-ABR Office'!D831+'FORM 1a-ABR Office'!D909+'FORM 1a-ABR Office'!D986+'FORM 1a-ABR Office'!D1064+'FORM 1a-ABR Office'!D1143+'FORM 1a-ABR Office'!D1222+'FORM 1a-ABR Office'!D1300+'FORM 1a-ABR Office'!D1377+'FORM 1a-ABR Office'!D1456+'FORM 1a-ABR Office'!D1534+'FORM 1a-ABR Office'!D1614+'FORM 1a-ABR Office'!D1692+'FORM 1a-ABR Office'!D1770+'FORM 1a-ABR Office'!D1849</f>
        <v>976905.6300000001</v>
      </c>
      <c r="F35" s="364">
        <f>'FORM 1a-ABR Office'!E46+'FORM 1a-ABR Office'!E169+'FORM 1a-ABR Office'!E248+'FORM 1a-ABR Office'!E324+'FORM 1a-ABR Office'!E403+'FORM 1a-ABR Office'!E481+'FORM 1a-ABR Office'!E558+'FORM 1a-ABR Office'!E635+'FORM 1a-ABR Office'!E753+'FORM 1a-ABR Office'!E831+'FORM 1a-ABR Office'!E909+'FORM 1a-ABR Office'!E986+'FORM 1a-ABR Office'!E1064+'FORM 1a-ABR Office'!E1143+'FORM 1a-ABR Office'!E1222+'FORM 1a-ABR Office'!E1300+'FORM 1a-ABR Office'!E1377+'FORM 1a-ABR Office'!E1456+'FORM 1a-ABR Office'!E1534+'FORM 1a-ABR Office'!E1614+'FORM 1a-ABR Office'!E1692+'FORM 1a-ABR Office'!E1770+'FORM 1a-ABR Office'!E1849</f>
        <v>2484134.3699999996</v>
      </c>
      <c r="G35" s="364">
        <f>'FORM 1a-ABR Office'!F46+'FORM 1a-ABR Office'!F169+'FORM 1a-ABR Office'!F248+'FORM 1a-ABR Office'!F324+'FORM 1a-ABR Office'!F403+'FORM 1a-ABR Office'!F481+'FORM 1a-ABR Office'!F558+'FORM 1a-ABR Office'!F635+'FORM 1a-ABR Office'!F753+'FORM 1a-ABR Office'!F831+'FORM 1a-ABR Office'!F909+'FORM 1a-ABR Office'!F986+'FORM 1a-ABR Office'!F1064+'FORM 1a-ABR Office'!F1143+'FORM 1a-ABR Office'!F1222+'FORM 1a-ABR Office'!F1300+'FORM 1a-ABR Office'!F1377+'FORM 1a-ABR Office'!F1456+'FORM 1a-ABR Office'!F1534+'FORM 1a-ABR Office'!F1614+'FORM 1a-ABR Office'!F1692+'FORM 1a-ABR Office'!F1770+'FORM 1a-ABR Office'!F1849</f>
        <v>3461040</v>
      </c>
      <c r="H35" s="364">
        <f>'FORM 1a-ABR Office'!G46+'FORM 1a-ABR Office'!G169+'FORM 1a-ABR Office'!G248+'FORM 1a-ABR Office'!G324+'FORM 1a-ABR Office'!G403+'FORM 1a-ABR Office'!G481+'FORM 1a-ABR Office'!G558+'FORM 1a-ABR Office'!G635+'FORM 1a-ABR Office'!G753+'FORM 1a-ABR Office'!G831+'FORM 1a-ABR Office'!G909+'FORM 1a-ABR Office'!G986+'FORM 1a-ABR Office'!G1064+'FORM 1a-ABR Office'!G1143+'FORM 1a-ABR Office'!G1222+'FORM 1a-ABR Office'!G1300+'FORM 1a-ABR Office'!G1377+'FORM 1a-ABR Office'!G1456+'FORM 1a-ABR Office'!G1534+'FORM 1a-ABR Office'!G1614+'FORM 1a-ABR Office'!G1692+'FORM 1a-ABR Office'!G1770+'FORM 1a-ABR Office'!G1849</f>
        <v>3146000</v>
      </c>
      <c r="J35" s="78"/>
    </row>
    <row r="36" spans="1:10" ht="12">
      <c r="A36" s="240" t="s">
        <v>19</v>
      </c>
      <c r="B36" s="357" t="s">
        <v>127</v>
      </c>
      <c r="C36" s="228"/>
      <c r="D36" s="364">
        <f>'FORM 1a-ABR Office'!C47+'FORM 1a-ABR Office'!C170+'FORM 1a-ABR Office'!C249+'FORM 1a-ABR Office'!C325+'FORM 1a-ABR Office'!C404+'FORM 1a-ABR Office'!C482+'FORM 1a-ABR Office'!C559+'FORM 1a-ABR Office'!C636+'FORM 1a-ABR Office'!C754+'FORM 1a-ABR Office'!C832+'FORM 1a-ABR Office'!C910+'FORM 1a-ABR Office'!C987+'FORM 1a-ABR Office'!C1065+'FORM 1a-ABR Office'!C1144+'FORM 1a-ABR Office'!C1223+'FORM 1a-ABR Office'!C1301+'FORM 1a-ABR Office'!C1378+'FORM 1a-ABR Office'!C1457+'FORM 1a-ABR Office'!C1535+'FORM 1a-ABR Office'!C1615+'FORM 1a-ABR Office'!C1693+'FORM 1a-ABR Office'!C1771+'FORM 1a-ABR Office'!C1850</f>
        <v>964917.9</v>
      </c>
      <c r="E36" s="364">
        <f>'FORM 1a-ABR Office'!D47+'FORM 1a-ABR Office'!D170+'FORM 1a-ABR Office'!D249+'FORM 1a-ABR Office'!D325+'FORM 1a-ABR Office'!D404+'FORM 1a-ABR Office'!D482+'FORM 1a-ABR Office'!D559+'FORM 1a-ABR Office'!D636+'FORM 1a-ABR Office'!D754+'FORM 1a-ABR Office'!D832+'FORM 1a-ABR Office'!D910+'FORM 1a-ABR Office'!D987+'FORM 1a-ABR Office'!D1065+'FORM 1a-ABR Office'!D1144+'FORM 1a-ABR Office'!D1223+'FORM 1a-ABR Office'!D1301+'FORM 1a-ABR Office'!D1378+'FORM 1a-ABR Office'!D1457+'FORM 1a-ABR Office'!D1535+'FORM 1a-ABR Office'!D1615+'FORM 1a-ABR Office'!D1693+'FORM 1a-ABR Office'!D1771+'FORM 1a-ABR Office'!D1850</f>
        <v>319450</v>
      </c>
      <c r="F36" s="364">
        <f>'FORM 1a-ABR Office'!E47+'FORM 1a-ABR Office'!E170+'FORM 1a-ABR Office'!E249+'FORM 1a-ABR Office'!E325+'FORM 1a-ABR Office'!E404+'FORM 1a-ABR Office'!E482+'FORM 1a-ABR Office'!E559+'FORM 1a-ABR Office'!E636+'FORM 1a-ABR Office'!E754+'FORM 1a-ABR Office'!E832+'FORM 1a-ABR Office'!E910+'FORM 1a-ABR Office'!E987+'FORM 1a-ABR Office'!E1065+'FORM 1a-ABR Office'!E1144+'FORM 1a-ABR Office'!E1223+'FORM 1a-ABR Office'!E1301+'FORM 1a-ABR Office'!E1378+'FORM 1a-ABR Office'!E1457+'FORM 1a-ABR Office'!E1535+'FORM 1a-ABR Office'!E1615+'FORM 1a-ABR Office'!E1693+'FORM 1a-ABR Office'!E1771+'FORM 1a-ABR Office'!E1850</f>
        <v>1177950</v>
      </c>
      <c r="G36" s="364">
        <f>'FORM 1a-ABR Office'!F47+'FORM 1a-ABR Office'!F170+'FORM 1a-ABR Office'!F249+'FORM 1a-ABR Office'!F325+'FORM 1a-ABR Office'!F404+'FORM 1a-ABR Office'!F482+'FORM 1a-ABR Office'!F559+'FORM 1a-ABR Office'!F636+'FORM 1a-ABR Office'!F754+'FORM 1a-ABR Office'!F832+'FORM 1a-ABR Office'!F910+'FORM 1a-ABR Office'!F987+'FORM 1a-ABR Office'!F1065+'FORM 1a-ABR Office'!F1144+'FORM 1a-ABR Office'!F1223+'FORM 1a-ABR Office'!F1301+'FORM 1a-ABR Office'!F1378+'FORM 1a-ABR Office'!F1457+'FORM 1a-ABR Office'!F1535+'FORM 1a-ABR Office'!F1615+'FORM 1a-ABR Office'!F1693+'FORM 1a-ABR Office'!F1771+'FORM 1a-ABR Office'!F1850</f>
        <v>1497400</v>
      </c>
      <c r="H36" s="364">
        <f>'FORM 1a-ABR Office'!G47+'FORM 1a-ABR Office'!G170+'FORM 1a-ABR Office'!G249+'FORM 1a-ABR Office'!G325+'FORM 1a-ABR Office'!G404+'FORM 1a-ABR Office'!G482+'FORM 1a-ABR Office'!G559+'FORM 1a-ABR Office'!G636+'FORM 1a-ABR Office'!G754+'FORM 1a-ABR Office'!G832+'FORM 1a-ABR Office'!G910+'FORM 1a-ABR Office'!G987+'FORM 1a-ABR Office'!G1065+'FORM 1a-ABR Office'!G1144+'FORM 1a-ABR Office'!G1223+'FORM 1a-ABR Office'!G1301+'FORM 1a-ABR Office'!G1378+'FORM 1a-ABR Office'!G1457+'FORM 1a-ABR Office'!G1535+'FORM 1a-ABR Office'!G1615+'FORM 1a-ABR Office'!G1693+'FORM 1a-ABR Office'!G1771+'FORM 1a-ABR Office'!G1850</f>
        <v>1372200</v>
      </c>
      <c r="J36" s="78"/>
    </row>
    <row r="37" spans="1:10" ht="12">
      <c r="A37" s="96" t="s">
        <v>250</v>
      </c>
      <c r="B37" s="358" t="s">
        <v>245</v>
      </c>
      <c r="C37" s="228"/>
      <c r="D37" s="364">
        <f>'FORM 1a-ABR Office'!C48</f>
        <v>2500000</v>
      </c>
      <c r="E37" s="364">
        <f>'FORM 1a-ABR Office'!D48</f>
        <v>2147000</v>
      </c>
      <c r="F37" s="364">
        <f>'FORM 1a-ABR Office'!E48</f>
        <v>353000</v>
      </c>
      <c r="G37" s="364">
        <f>'FORM 1a-ABR Office'!F48</f>
        <v>2500000</v>
      </c>
      <c r="H37" s="364">
        <f>'FORM 1a-ABR Office'!G48</f>
        <v>2885000</v>
      </c>
      <c r="J37" s="78"/>
    </row>
    <row r="38" spans="1:10" ht="12">
      <c r="A38" s="240" t="s">
        <v>2</v>
      </c>
      <c r="B38" s="359" t="s">
        <v>128</v>
      </c>
      <c r="C38" s="228"/>
      <c r="D38" s="364">
        <f>'FORM 1a-ABR Office'!C49+'FORM 1a-ABR Office'!C171+'FORM 1a-ABR Office'!C250+'FORM 1a-ABR Office'!C326+'FORM 1a-ABR Office'!C405+'FORM 1a-ABR Office'!C483+'FORM 1a-ABR Office'!C560+'FORM 1a-ABR Office'!C637+'FORM 1a-ABR Office'!C755+'FORM 1a-ABR Office'!C833+'FORM 1a-ABR Office'!C911+'FORM 1a-ABR Office'!C988+'FORM 1a-ABR Office'!C1066+'FORM 1a-ABR Office'!C1145+'FORM 1a-ABR Office'!C1224+'FORM 1a-ABR Office'!C1302+'FORM 1a-ABR Office'!C1379+'FORM 1a-ABR Office'!C1458+'FORM 1a-ABR Office'!C1536+'FORM 1a-ABR Office'!C1616+'FORM 1a-ABR Office'!C1694+'FORM 1a-ABR Office'!C1772+'FORM 1a-ABR Office'!C1851</f>
        <v>2019119.42</v>
      </c>
      <c r="E38" s="364">
        <f>'FORM 1a-ABR Office'!D49+'FORM 1a-ABR Office'!D171+'FORM 1a-ABR Office'!D250+'FORM 1a-ABR Office'!D326+'FORM 1a-ABR Office'!D405+'FORM 1a-ABR Office'!D483+'FORM 1a-ABR Office'!D560+'FORM 1a-ABR Office'!D637+'FORM 1a-ABR Office'!D755+'FORM 1a-ABR Office'!D833+'FORM 1a-ABR Office'!D911+'FORM 1a-ABR Office'!D988+'FORM 1a-ABR Office'!D1066+'FORM 1a-ABR Office'!D1145+'FORM 1a-ABR Office'!D1224+'FORM 1a-ABR Office'!D1302+'FORM 1a-ABR Office'!D1379+'FORM 1a-ABR Office'!D1458+'FORM 1a-ABR Office'!D1536+'FORM 1a-ABR Office'!D1616+'FORM 1a-ABR Office'!D1694+'FORM 1a-ABR Office'!D1772+'FORM 1a-ABR Office'!D1851</f>
        <v>210543.56999999998</v>
      </c>
      <c r="F38" s="364">
        <f>'FORM 1a-ABR Office'!E49+'FORM 1a-ABR Office'!E171+'FORM 1a-ABR Office'!E250+'FORM 1a-ABR Office'!E326+'FORM 1a-ABR Office'!E405+'FORM 1a-ABR Office'!E483+'FORM 1a-ABR Office'!E560+'FORM 1a-ABR Office'!E637+'FORM 1a-ABR Office'!E755+'FORM 1a-ABR Office'!E833+'FORM 1a-ABR Office'!E911+'FORM 1a-ABR Office'!E988+'FORM 1a-ABR Office'!E1066+'FORM 1a-ABR Office'!E1145+'FORM 1a-ABR Office'!E1224+'FORM 1a-ABR Office'!E1302+'FORM 1a-ABR Office'!E1379+'FORM 1a-ABR Office'!E1458+'FORM 1a-ABR Office'!E1536+'FORM 1a-ABR Office'!E1616+'FORM 1a-ABR Office'!E1694+'FORM 1a-ABR Office'!E1772+'FORM 1a-ABR Office'!E1851</f>
        <v>2803395.7000000007</v>
      </c>
      <c r="G38" s="364">
        <f>'FORM 1a-ABR Office'!F49+'FORM 1a-ABR Office'!F171+'FORM 1a-ABR Office'!F250+'FORM 1a-ABR Office'!F326+'FORM 1a-ABR Office'!F405+'FORM 1a-ABR Office'!F483+'FORM 1a-ABR Office'!F560+'FORM 1a-ABR Office'!F637+'FORM 1a-ABR Office'!F755+'FORM 1a-ABR Office'!F833+'FORM 1a-ABR Office'!F911+'FORM 1a-ABR Office'!F988+'FORM 1a-ABR Office'!F1066+'FORM 1a-ABR Office'!F1145+'FORM 1a-ABR Office'!F1224+'FORM 1a-ABR Office'!F1302+'FORM 1a-ABR Office'!F1379+'FORM 1a-ABR Office'!F1458+'FORM 1a-ABR Office'!F1536+'FORM 1a-ABR Office'!F1616+'FORM 1a-ABR Office'!F1694+'FORM 1a-ABR Office'!F1772+'FORM 1a-ABR Office'!F1851</f>
        <v>3013939.27</v>
      </c>
      <c r="H38" s="364">
        <f>'FORM 1a-ABR Office'!G49+'FORM 1a-ABR Office'!G171+'FORM 1a-ABR Office'!G250+'FORM 1a-ABR Office'!G326+'FORM 1a-ABR Office'!G405+'FORM 1a-ABR Office'!G483+'FORM 1a-ABR Office'!G560+'FORM 1a-ABR Office'!G637+'FORM 1a-ABR Office'!G755+'FORM 1a-ABR Office'!G833+'FORM 1a-ABR Office'!G911+'FORM 1a-ABR Office'!G988+'FORM 1a-ABR Office'!G1066+'FORM 1a-ABR Office'!G1145+'FORM 1a-ABR Office'!G1224+'FORM 1a-ABR Office'!G1302+'FORM 1a-ABR Office'!G1379+'FORM 1a-ABR Office'!G1458+'FORM 1a-ABR Office'!G1536+'FORM 1a-ABR Office'!G1616+'FORM 1a-ABR Office'!G1694+'FORM 1a-ABR Office'!G1772+'FORM 1a-ABR Office'!G1851</f>
        <v>2606955</v>
      </c>
      <c r="J38" s="78">
        <f>G38-E38</f>
        <v>2803395.7</v>
      </c>
    </row>
    <row r="39" spans="1:10" ht="12">
      <c r="A39" s="240" t="s">
        <v>262</v>
      </c>
      <c r="B39" s="359" t="s">
        <v>258</v>
      </c>
      <c r="C39" s="228"/>
      <c r="D39" s="364">
        <f>'FORM 1a-ABR Office'!C1380</f>
        <v>95650</v>
      </c>
      <c r="E39" s="364">
        <f>'FORM 1a-ABR Office'!D1380</f>
        <v>45978</v>
      </c>
      <c r="F39" s="364">
        <f>'FORM 1a-ABR Office'!E1380</f>
        <v>54022</v>
      </c>
      <c r="G39" s="364">
        <f>'FORM 1a-ABR Office'!F1380</f>
        <v>100000</v>
      </c>
      <c r="H39" s="364">
        <f>'FORM 1a-ABR Office'!G1380</f>
        <v>120000</v>
      </c>
      <c r="J39" s="78"/>
    </row>
    <row r="40" spans="1:10" ht="12">
      <c r="A40" s="347" t="s">
        <v>337</v>
      </c>
      <c r="B40" s="359" t="s">
        <v>323</v>
      </c>
      <c r="C40" s="228"/>
      <c r="D40" s="364">
        <f>'FORM 1a-ABR Office'!C1067</f>
        <v>6500</v>
      </c>
      <c r="E40" s="364">
        <f>'FORM 1a-ABR Office'!D1067</f>
        <v>0</v>
      </c>
      <c r="F40" s="364">
        <f>'FORM 1a-ABR Office'!E1067</f>
        <v>9000</v>
      </c>
      <c r="G40" s="364">
        <f>'FORM 1a-ABR Office'!F1067</f>
        <v>9000</v>
      </c>
      <c r="H40" s="364">
        <f>'FORM 1a-ABR Office'!G1067</f>
        <v>12700</v>
      </c>
      <c r="J40" s="78"/>
    </row>
    <row r="41" spans="1:10" ht="12">
      <c r="A41" s="347" t="s">
        <v>355</v>
      </c>
      <c r="B41" s="359" t="s">
        <v>314</v>
      </c>
      <c r="C41" s="228"/>
      <c r="D41" s="364">
        <f>'FORM 1a-ABR Office'!C51+'FORM 1a-ABR Office'!C1617</f>
        <v>0</v>
      </c>
      <c r="E41" s="364">
        <f>'FORM 1a-ABR Office'!D51+'FORM 1a-ABR Office'!D1617</f>
        <v>100740</v>
      </c>
      <c r="F41" s="364">
        <f>'FORM 1a-ABR Office'!E51+'FORM 1a-ABR Office'!E1617</f>
        <v>1239260</v>
      </c>
      <c r="G41" s="364">
        <f>'FORM 1a-ABR Office'!F51+'FORM 1a-ABR Office'!F1617</f>
        <v>1340000</v>
      </c>
      <c r="H41" s="364">
        <f>'FORM 1a-ABR Office'!G51+'FORM 1a-ABR Office'!G1617</f>
        <v>500000</v>
      </c>
      <c r="J41" s="78"/>
    </row>
    <row r="42" spans="1:10" ht="12">
      <c r="A42" s="347" t="s">
        <v>325</v>
      </c>
      <c r="B42" s="359" t="s">
        <v>324</v>
      </c>
      <c r="C42" s="228"/>
      <c r="D42" s="234">
        <v>0</v>
      </c>
      <c r="E42" s="234">
        <v>0</v>
      </c>
      <c r="F42" s="234">
        <v>0</v>
      </c>
      <c r="G42" s="234">
        <v>0</v>
      </c>
      <c r="H42" s="234">
        <v>0</v>
      </c>
      <c r="J42" s="78"/>
    </row>
    <row r="43" spans="1:10" ht="12">
      <c r="A43" s="295" t="s">
        <v>283</v>
      </c>
      <c r="B43" s="352" t="s">
        <v>219</v>
      </c>
      <c r="C43" s="228"/>
      <c r="D43" s="364">
        <f>'FORM 1a-ABR Office'!C50+'FORM 1a-ABR Office'!C172+'FORM 1a-ABR Office'!C251+'FORM 1a-ABR Office'!C327+'FORM 1a-ABR Office'!C406+'FORM 1a-ABR Office'!C484+'FORM 1a-ABR Office'!C561+'FORM 1a-ABR Office'!C638+'FORM 1a-ABR Office'!C756+'FORM 1a-ABR Office'!C1146+'FORM 1a-ABR Office'!C1459+'FORM 1a-ABR Office'!C1540+'FORM 1a-ABR Office'!C1618+'FORM 1a-ABR Office'!C1698+'FORM 1a-ABR Office'!C1852</f>
        <v>2703722.76</v>
      </c>
      <c r="E43" s="364">
        <f>'FORM 1a-ABR Office'!D50+'FORM 1a-ABR Office'!D172+'FORM 1a-ABR Office'!D251+'FORM 1a-ABR Office'!D327+'FORM 1a-ABR Office'!D406+'FORM 1a-ABR Office'!D484+'FORM 1a-ABR Office'!D561+'FORM 1a-ABR Office'!D638+'FORM 1a-ABR Office'!D756+'FORM 1a-ABR Office'!D1146+'FORM 1a-ABR Office'!D1459+'FORM 1a-ABR Office'!D1540+'FORM 1a-ABR Office'!D1618+'FORM 1a-ABR Office'!D1698+'FORM 1a-ABR Office'!D1852</f>
        <v>909864</v>
      </c>
      <c r="F43" s="364">
        <f>'FORM 1a-ABR Office'!E50+'FORM 1a-ABR Office'!E172+'FORM 1a-ABR Office'!E251+'FORM 1a-ABR Office'!E327+'FORM 1a-ABR Office'!E406+'FORM 1a-ABR Office'!E484+'FORM 1a-ABR Office'!E561+'FORM 1a-ABR Office'!E638+'FORM 1a-ABR Office'!E756+'FORM 1a-ABR Office'!E1146+'FORM 1a-ABR Office'!E1459+'FORM 1a-ABR Office'!E1540+'FORM 1a-ABR Office'!E1618+'FORM 1a-ABR Office'!E1698+'FORM 1a-ABR Office'!E1852</f>
        <v>2845340.01</v>
      </c>
      <c r="G43" s="364">
        <f>'FORM 1a-ABR Office'!F50+'FORM 1a-ABR Office'!F172+'FORM 1a-ABR Office'!F251+'FORM 1a-ABR Office'!F327+'FORM 1a-ABR Office'!F406+'FORM 1a-ABR Office'!F484+'FORM 1a-ABR Office'!F561+'FORM 1a-ABR Office'!F638+'FORM 1a-ABR Office'!F756+'FORM 1a-ABR Office'!F1146+'FORM 1a-ABR Office'!F1459+'FORM 1a-ABR Office'!F1540+'FORM 1a-ABR Office'!F1618+'FORM 1a-ABR Office'!F1698+'FORM 1a-ABR Office'!F1852</f>
        <v>3755204.01</v>
      </c>
      <c r="H43" s="364">
        <f>'FORM 1a-ABR Office'!G50+'FORM 1a-ABR Office'!G172+'FORM 1a-ABR Office'!G251+'FORM 1a-ABR Office'!G327+'FORM 1a-ABR Office'!G406+'FORM 1a-ABR Office'!G484+'FORM 1a-ABR Office'!G561+'FORM 1a-ABR Office'!G638+'FORM 1a-ABR Office'!G756+'FORM 1a-ABR Office'!G1146+'FORM 1a-ABR Office'!G1459+'FORM 1a-ABR Office'!G1540+'FORM 1a-ABR Office'!G1618+'FORM 1a-ABR Office'!G1698+'FORM 1a-ABR Office'!G1852</f>
        <v>3367986.7</v>
      </c>
      <c r="J43" s="78">
        <f>G43-2825195</f>
        <v>930009.0099999998</v>
      </c>
    </row>
    <row r="44" spans="1:10" ht="12">
      <c r="A44" s="240" t="s">
        <v>16</v>
      </c>
      <c r="B44" s="359" t="s">
        <v>215</v>
      </c>
      <c r="C44" s="228"/>
      <c r="D44" s="364">
        <f>'FORM 1a-ABR Office'!C1696</f>
        <v>33680</v>
      </c>
      <c r="E44" s="364">
        <f>'FORM 1a-ABR Office'!D1696</f>
        <v>0</v>
      </c>
      <c r="F44" s="364">
        <f>'FORM 1a-ABR Office'!E1696</f>
        <v>200000</v>
      </c>
      <c r="G44" s="364">
        <f>'FORM 1a-ABR Office'!F1696</f>
        <v>200000</v>
      </c>
      <c r="H44" s="364">
        <f>'FORM 1a-ABR Office'!G1696</f>
        <v>200000</v>
      </c>
      <c r="J44" s="78"/>
    </row>
    <row r="45" spans="1:10" ht="12">
      <c r="A45" s="240" t="s">
        <v>94</v>
      </c>
      <c r="B45" s="359" t="s">
        <v>129</v>
      </c>
      <c r="C45" s="228"/>
      <c r="D45" s="364">
        <f>'FORM 1a-ABR Office'!C52+'FORM 1a-ABR Office'!C1537</f>
        <v>2589540</v>
      </c>
      <c r="E45" s="364">
        <f>'FORM 1a-ABR Office'!D52+'FORM 1a-ABR Office'!D1537</f>
        <v>4917.75</v>
      </c>
      <c r="F45" s="364">
        <f>'FORM 1a-ABR Office'!E52+'FORM 1a-ABR Office'!E1537</f>
        <v>3795082.25</v>
      </c>
      <c r="G45" s="364">
        <f>'FORM 1a-ABR Office'!F52+'FORM 1a-ABR Office'!F1537</f>
        <v>3800000</v>
      </c>
      <c r="H45" s="364">
        <f>'FORM 1a-ABR Office'!G52+'FORM 1a-ABR Office'!G1537</f>
        <v>3440000</v>
      </c>
      <c r="J45" s="78"/>
    </row>
    <row r="46" spans="1:10" ht="12">
      <c r="A46" s="240" t="s">
        <v>0</v>
      </c>
      <c r="B46" s="359" t="s">
        <v>218</v>
      </c>
      <c r="C46" s="228"/>
      <c r="D46" s="364">
        <f>'FORM 1a-ABR Office'!C1538</f>
        <v>1368515.25</v>
      </c>
      <c r="E46" s="364">
        <f>'FORM 1a-ABR Office'!D1538</f>
        <v>4591</v>
      </c>
      <c r="F46" s="364">
        <f>'FORM 1a-ABR Office'!E1538</f>
        <v>3473409</v>
      </c>
      <c r="G46" s="364">
        <f>'FORM 1a-ABR Office'!F1538</f>
        <v>3478000</v>
      </c>
      <c r="H46" s="364">
        <f>'FORM 1a-ABR Office'!G1538</f>
        <v>2460000</v>
      </c>
      <c r="J46" s="78"/>
    </row>
    <row r="47" spans="1:10" ht="12">
      <c r="A47" s="209" t="s">
        <v>295</v>
      </c>
      <c r="B47" s="359" t="s">
        <v>130</v>
      </c>
      <c r="C47" s="228"/>
      <c r="D47" s="234">
        <f>'FORM 1a-ABR Office'!C53+'FORM 1a-ABR Office'!C757+'FORM 1a-ABR Office'!C1381+'FORM 1a-ABR Office'!C252+'FORM 1a-ABR Office'!C1539</f>
        <v>2576073.93</v>
      </c>
      <c r="E47" s="364">
        <f>'FORM 1a-ABR Office'!D53+'FORM 1a-ABR Office'!D757+'FORM 1a-ABR Office'!D1381+'FORM 1a-ABR Office'!D252+'FORM 1a-ABR Office'!D1539</f>
        <v>2797343.85</v>
      </c>
      <c r="F47" s="234">
        <f>'FORM 1a-ABR Office'!E53+'FORM 1a-ABR Office'!E757+'FORM 1a-ABR Office'!E1381+'FORM 1a-ABR Office'!E252+'FORM 1a-ABR Office'!E1539</f>
        <v>2122656.15</v>
      </c>
      <c r="G47" s="234">
        <f>'FORM 1a-ABR Office'!F53+'FORM 1a-ABR Office'!F757+'FORM 1a-ABR Office'!F1381+'FORM 1a-ABR Office'!F252+'FORM 1a-ABR Office'!F1539</f>
        <v>4920000</v>
      </c>
      <c r="H47" s="364">
        <f>'FORM 1a-ABR Office'!G53+'FORM 1a-ABR Office'!G757+'FORM 1a-ABR Office'!G1381+'FORM 1a-ABR Office'!G252+'FORM 1a-ABR Office'!G1539+'FORM 1a-ABR Office'!G639+'FORM 1a-ABR Office'!G173</f>
        <v>5220000</v>
      </c>
      <c r="J47" s="78"/>
    </row>
    <row r="48" spans="1:10" ht="12">
      <c r="A48" s="338" t="s">
        <v>361</v>
      </c>
      <c r="B48" s="352" t="s">
        <v>287</v>
      </c>
      <c r="C48" s="228"/>
      <c r="D48" s="234">
        <f>'FORM 1a-ABR Office'!C54</f>
        <v>0</v>
      </c>
      <c r="E48" s="364">
        <f>'FORM 1a-ABR Office'!D54</f>
        <v>0</v>
      </c>
      <c r="F48" s="234">
        <f>'FORM 1a-ABR Office'!E54</f>
        <v>200000</v>
      </c>
      <c r="G48" s="234">
        <f>'FORM 1a-ABR Office'!F54</f>
        <v>200000</v>
      </c>
      <c r="H48" s="234">
        <f>'FORM 1a-ABR Office'!G54</f>
        <v>0</v>
      </c>
      <c r="J48" s="78"/>
    </row>
    <row r="49" spans="1:10" ht="12">
      <c r="A49" s="311" t="s">
        <v>269</v>
      </c>
      <c r="B49" s="359" t="s">
        <v>268</v>
      </c>
      <c r="C49" s="228"/>
      <c r="D49" s="234">
        <f>'FORM 1a-ABR Office'!C1697</f>
        <v>3391360</v>
      </c>
      <c r="E49" s="364">
        <f>'FORM 1a-ABR Office'!D1697</f>
        <v>2998960</v>
      </c>
      <c r="F49" s="234">
        <f>'FORM 1a-ABR Office'!E1697</f>
        <v>673040</v>
      </c>
      <c r="G49" s="234">
        <f>'FORM 1a-ABR Office'!F1697</f>
        <v>3672000</v>
      </c>
      <c r="H49" s="364">
        <f>'FORM 1a-ABR Office'!G1697</f>
        <v>2732800</v>
      </c>
      <c r="J49" s="78"/>
    </row>
    <row r="50" spans="1:10" ht="12">
      <c r="A50" s="240" t="s">
        <v>9</v>
      </c>
      <c r="B50" s="359" t="s">
        <v>131</v>
      </c>
      <c r="C50" s="228"/>
      <c r="D50" s="364">
        <f>'FORM 1a-ABR Office'!C55++'FORM 1a-ABR Office'!C174+'FORM 1a-ABR Office'!C253+'FORM 1a-ABR Office'!C329+'FORM 1a-ABR Office'!C408+'FORM 1a-ABR Office'!C486+'FORM 1a-ABR Office'!C563+'FORM 1a-ABR Office'!C640+'FORM 1a-ABR Office'!C640+'FORM 1a-ABR Office'!C758+'FORM 1a-ABR Office'!C834+'FORM 1a-ABR Office'!C989+'FORM 1a-ABR Office'!C1068+'FORM 1a-ABR Office'!C1147+'FORM 1a-ABR Office'!C1225+'FORM 1a-ABR Office'!C1303+'FORM 1a-ABR Office'!C1382+'FORM 1a-ABR Office'!C1460+'FORM 1a-ABR Office'!C1541+'FORM 1a-ABR Office'!C1619+'FORM 1a-ABR Office'!C1695+'FORM 1a-ABR Office'!C1773+'FORM 1a-ABR Office'!C1853</f>
        <v>37800</v>
      </c>
      <c r="E50" s="364">
        <f>'FORM 1a-ABR Office'!D55++'FORM 1a-ABR Office'!D174+'FORM 1a-ABR Office'!D253+'FORM 1a-ABR Office'!D329+'FORM 1a-ABR Office'!D408+'FORM 1a-ABR Office'!D486+'FORM 1a-ABR Office'!D563+'FORM 1a-ABR Office'!D640+'FORM 1a-ABR Office'!D640+'FORM 1a-ABR Office'!D758+'FORM 1a-ABR Office'!D834+'FORM 1a-ABR Office'!D989+'FORM 1a-ABR Office'!D1068+'FORM 1a-ABR Office'!D1147+'FORM 1a-ABR Office'!D1225+'FORM 1a-ABR Office'!D1303+'FORM 1a-ABR Office'!D1382+'FORM 1a-ABR Office'!D1460+'FORM 1a-ABR Office'!D1541+'FORM 1a-ABR Office'!D1619+'FORM 1a-ABR Office'!D1695+'FORM 1a-ABR Office'!D1773+'FORM 1a-ABR Office'!D1853</f>
        <v>0</v>
      </c>
      <c r="F50" s="364">
        <f>'FORM 1a-ABR Office'!E55++'FORM 1a-ABR Office'!E174+'FORM 1a-ABR Office'!E253+'FORM 1a-ABR Office'!E329+'FORM 1a-ABR Office'!E408+'FORM 1a-ABR Office'!E486+'FORM 1a-ABR Office'!E563+'FORM 1a-ABR Office'!E640+'FORM 1a-ABR Office'!E640+'FORM 1a-ABR Office'!E758+'FORM 1a-ABR Office'!E834+'FORM 1a-ABR Office'!E989+'FORM 1a-ABR Office'!E1068+'FORM 1a-ABR Office'!E1147+'FORM 1a-ABR Office'!E1225+'FORM 1a-ABR Office'!E1303+'FORM 1a-ABR Office'!E1382+'FORM 1a-ABR Office'!E1460+'FORM 1a-ABR Office'!E1541+'FORM 1a-ABR Office'!E1619+'FORM 1a-ABR Office'!E1695+'FORM 1a-ABR Office'!E1773+'FORM 1a-ABR Office'!E1853</f>
        <v>126843.97</v>
      </c>
      <c r="G50" s="364">
        <f>'FORM 1a-ABR Office'!F55++'FORM 1a-ABR Office'!F174+'FORM 1a-ABR Office'!F253+'FORM 1a-ABR Office'!F329+'FORM 1a-ABR Office'!F408+'FORM 1a-ABR Office'!F486+'FORM 1a-ABR Office'!F563+'FORM 1a-ABR Office'!F640+'FORM 1a-ABR Office'!F640+'FORM 1a-ABR Office'!F758+'FORM 1a-ABR Office'!F834+'FORM 1a-ABR Office'!F989+'FORM 1a-ABR Office'!F1068+'FORM 1a-ABR Office'!F1147+'FORM 1a-ABR Office'!F1225+'FORM 1a-ABR Office'!F1303+'FORM 1a-ABR Office'!F1382+'FORM 1a-ABR Office'!F1460+'FORM 1a-ABR Office'!F1541+'FORM 1a-ABR Office'!F1619+'FORM 1a-ABR Office'!F1695+'FORM 1a-ABR Office'!F1773+'FORM 1a-ABR Office'!F1853</f>
        <v>126843.97</v>
      </c>
      <c r="H50" s="364">
        <f>'FORM 1a-ABR Office'!G55+'FORM 1a-ABR Office'!G174+'FORM 1a-ABR Office'!G253+'FORM 1a-ABR Office'!G329+'FORM 1a-ABR Office'!G408+'FORM 1a-ABR Office'!G486+'FORM 1a-ABR Office'!G563+'FORM 1a-ABR Office'!G640+'FORM 1a-ABR Office'!G640+'FORM 1a-ABR Office'!G758+'FORM 1a-ABR Office'!G834+'FORM 1a-ABR Office'!G989+'FORM 1a-ABR Office'!G1068+'FORM 1a-ABR Office'!G1147+'FORM 1a-ABR Office'!G1225+'FORM 1a-ABR Office'!G1303+'FORM 1a-ABR Office'!G1382+'FORM 1a-ABR Office'!G1460+'FORM 1a-ABR Office'!G1541+'FORM 1a-ABR Office'!G1619+'FORM 1a-ABR Office'!G1695+'FORM 1a-ABR Office'!G1773+'FORM 1a-ABR Office'!G1853</f>
        <v>82700</v>
      </c>
      <c r="J50" s="78"/>
    </row>
    <row r="51" spans="1:10" ht="12">
      <c r="A51" s="240" t="s">
        <v>10</v>
      </c>
      <c r="B51" s="359" t="s">
        <v>132</v>
      </c>
      <c r="C51" s="228"/>
      <c r="D51" s="234">
        <f>'FORM 1a-ABR Office'!C56+'FORM 1a-ABR Office'!C254+'FORM 1a-ABR Office'!C175</f>
        <v>3626039.74</v>
      </c>
      <c r="E51" s="234">
        <f>'FORM 1a-ABR Office'!D56+'FORM 1a-ABR Office'!D254+'FORM 1a-ABR Office'!D175</f>
        <v>2977210.46</v>
      </c>
      <c r="F51" s="234">
        <f>'FORM 1a-ABR Office'!E56+'FORM 1a-ABR Office'!E254+'FORM 1a-ABR Office'!E175</f>
        <v>1811375.42</v>
      </c>
      <c r="G51" s="234">
        <f>'FORM 1a-ABR Office'!F56+'FORM 1a-ABR Office'!F254+'FORM 1a-ABR Office'!F175</f>
        <v>4788585.88</v>
      </c>
      <c r="H51" s="234">
        <f>'FORM 1a-ABR Office'!G56+'FORM 1a-ABR Office'!G254+'FORM 1a-ABR Office'!G175</f>
        <v>5938585.88</v>
      </c>
      <c r="J51" s="78"/>
    </row>
    <row r="52" spans="1:10" ht="12">
      <c r="A52" s="209" t="s">
        <v>237</v>
      </c>
      <c r="B52" s="359" t="s">
        <v>134</v>
      </c>
      <c r="C52" s="228"/>
      <c r="D52" s="234">
        <f>'FORM 1a-ABR Office'!C1383+'FORM 1a-ABR Office'!C1304+'FORM 1a-ABR Office'!C1069+'FORM 1a-ABR Office'!C912+'FORM 1a-ABR Office'!C835+'FORM 1a-ABR Office'!C759</f>
        <v>1949</v>
      </c>
      <c r="E52" s="364">
        <f>'FORM 1a-ABR Office'!D1383+'FORM 1a-ABR Office'!D1304+'FORM 1a-ABR Office'!D1069+'FORM 1a-ABR Office'!D912+'FORM 1a-ABR Office'!D835+'FORM 1a-ABR Office'!D759</f>
        <v>740</v>
      </c>
      <c r="F52" s="234">
        <f>'FORM 1a-ABR Office'!E1383+'FORM 1a-ABR Office'!E1304+'FORM 1a-ABR Office'!E1069+'FORM 1a-ABR Office'!E912+'FORM 1a-ABR Office'!E835+'FORM 1a-ABR Office'!E759</f>
        <v>23760</v>
      </c>
      <c r="G52" s="234">
        <f>'FORM 1a-ABR Office'!F1383+'FORM 1a-ABR Office'!F1304+'FORM 1a-ABR Office'!F1069+'FORM 1a-ABR Office'!F912+'FORM 1a-ABR Office'!F835+'FORM 1a-ABR Office'!F759</f>
        <v>24500</v>
      </c>
      <c r="H52" s="364">
        <f>'FORM 1a-ABR Office'!G1383+'FORM 1a-ABR Office'!G1304+'FORM 1a-ABR Office'!G1069+'FORM 1a-ABR Office'!G912+'FORM 1a-ABR Office'!G835+'FORM 1a-ABR Office'!G759+'FORM 1a-ABR Office'!G641+'FORM 1a-ABR Office'!G564+'FORM 1a-ABR Office'!G409+'FORM 1a-ABR Office'!G330+'FORM 1a-ABR Office'!G176</f>
        <v>27000</v>
      </c>
      <c r="J52" s="78"/>
    </row>
    <row r="53" spans="1:10" ht="12">
      <c r="A53" s="241" t="s">
        <v>227</v>
      </c>
      <c r="B53" s="360" t="s">
        <v>135</v>
      </c>
      <c r="C53" s="242"/>
      <c r="D53" s="378">
        <f>'FORM 1a-ABR Office'!C57+'FORM 1a-ABR Office'!C177+'FORM 1a-ABR Office'!C255+'FORM 1a-ABR Office'!C331+'FORM 1a-ABR Office'!C410+'FORM 1a-ABR Office'!C488+'FORM 1a-ABR Office'!C565+'FORM 1a-ABR Office'!C642+'FORM 1a-ABR Office'!C760+'FORM 1a-ABR Office'!C836+'FORM 1a-ABR Office'!C914+'FORM 1a-ABR Office'!C990+'FORM 1a-ABR Office'!C1070+'FORM 1a-ABR Office'!C1148+'FORM 1a-ABR Office'!C1226+'FORM 1a-ABR Office'!C1306+'FORM 1a-ABR Office'!C1384+'FORM 1a-ABR Office'!C1461+'FORM 1a-ABR Office'!C1542+'FORM 1a-ABR Office'!C1620+'FORM 1a-ABR Office'!C1699+'FORM 1a-ABR Office'!C1775+'FORM 1a-ABR Office'!C1854</f>
        <v>2774818</v>
      </c>
      <c r="E53" s="378">
        <f>'FORM 1a-ABR Office'!D57+'FORM 1a-ABR Office'!D177+'FORM 1a-ABR Office'!D255+'FORM 1a-ABR Office'!D331+'FORM 1a-ABR Office'!D410+'FORM 1a-ABR Office'!D488+'FORM 1a-ABR Office'!D565+'FORM 1a-ABR Office'!D642+'FORM 1a-ABR Office'!D760+'FORM 1a-ABR Office'!D836+'FORM 1a-ABR Office'!D914+'FORM 1a-ABR Office'!D990+'FORM 1a-ABR Office'!D1070+'FORM 1a-ABR Office'!D1148+'FORM 1a-ABR Office'!D1226+'FORM 1a-ABR Office'!D1306+'FORM 1a-ABR Office'!D1384+'FORM 1a-ABR Office'!D1461+'FORM 1a-ABR Office'!D1542+'FORM 1a-ABR Office'!D1620+'FORM 1a-ABR Office'!D1699+'FORM 1a-ABR Office'!D1775+'FORM 1a-ABR Office'!D1854</f>
        <v>1354135.38</v>
      </c>
      <c r="F53" s="378">
        <f>'FORM 1a-ABR Office'!E57+'FORM 1a-ABR Office'!E177+'FORM 1a-ABR Office'!E255+'FORM 1a-ABR Office'!E331+'FORM 1a-ABR Office'!E410+'FORM 1a-ABR Office'!E488+'FORM 1a-ABR Office'!E565+'FORM 1a-ABR Office'!E642+'FORM 1a-ABR Office'!E760+'FORM 1a-ABR Office'!E836+'FORM 1a-ABR Office'!E914+'FORM 1a-ABR Office'!E990+'FORM 1a-ABR Office'!E1070+'FORM 1a-ABR Office'!E1148+'FORM 1a-ABR Office'!E1226+'FORM 1a-ABR Office'!E1306+'FORM 1a-ABR Office'!E1384+'FORM 1a-ABR Office'!E1461+'FORM 1a-ABR Office'!E1542+'FORM 1a-ABR Office'!E1620+'FORM 1a-ABR Office'!E1699+'FORM 1a-ABR Office'!E1775+'FORM 1a-ABR Office'!E1854</f>
        <v>2122864.62</v>
      </c>
      <c r="G53" s="378">
        <f>'FORM 1a-ABR Office'!F57+'FORM 1a-ABR Office'!F177+'FORM 1a-ABR Office'!F255+'FORM 1a-ABR Office'!F331+'FORM 1a-ABR Office'!F410+'FORM 1a-ABR Office'!F488+'FORM 1a-ABR Office'!F565+'FORM 1a-ABR Office'!F642+'FORM 1a-ABR Office'!F760+'FORM 1a-ABR Office'!F836+'FORM 1a-ABR Office'!F914+'FORM 1a-ABR Office'!F990+'FORM 1a-ABR Office'!F1070+'FORM 1a-ABR Office'!F1148+'FORM 1a-ABR Office'!F1226+'FORM 1a-ABR Office'!F1306+'FORM 1a-ABR Office'!F1384+'FORM 1a-ABR Office'!F1461+'FORM 1a-ABR Office'!F1542+'FORM 1a-ABR Office'!F1620+'FORM 1a-ABR Office'!F1699+'FORM 1a-ABR Office'!F1775+'FORM 1a-ABR Office'!F1854</f>
        <v>3477000</v>
      </c>
      <c r="H53" s="378">
        <f>'FORM 1a-ABR Office'!G57+'FORM 1a-ABR Office'!G177+'FORM 1a-ABR Office'!G255+'FORM 1a-ABR Office'!G331+'FORM 1a-ABR Office'!G410+'FORM 1a-ABR Office'!G488+'FORM 1a-ABR Office'!G565+'FORM 1a-ABR Office'!G642+'FORM 1a-ABR Office'!G760+'FORM 1a-ABR Office'!G836+'FORM 1a-ABR Office'!G914+'FORM 1a-ABR Office'!G990+'FORM 1a-ABR Office'!G1070+'FORM 1a-ABR Office'!G1148+'FORM 1a-ABR Office'!G1226+'FORM 1a-ABR Office'!G1306+'FORM 1a-ABR Office'!G1384+'FORM 1a-ABR Office'!G1461+'FORM 1a-ABR Office'!G1542+'FORM 1a-ABR Office'!G1620+'FORM 1a-ABR Office'!G1699+'FORM 1a-ABR Office'!G1775+'FORM 1a-ABR Office'!G1854</f>
        <v>3180000</v>
      </c>
      <c r="J53" s="78"/>
    </row>
    <row r="54" spans="1:10" ht="12">
      <c r="A54" s="221"/>
      <c r="B54" s="222"/>
      <c r="C54" s="215"/>
      <c r="D54" s="223"/>
      <c r="E54" s="223"/>
      <c r="F54" s="223"/>
      <c r="G54" s="223"/>
      <c r="H54" s="434"/>
      <c r="J54" s="78"/>
    </row>
    <row r="55" spans="1:10" ht="12">
      <c r="A55" s="224"/>
      <c r="B55" s="225"/>
      <c r="C55" s="95"/>
      <c r="D55" s="226"/>
      <c r="E55" s="226"/>
      <c r="F55" s="226"/>
      <c r="G55" s="226"/>
      <c r="H55" s="435"/>
      <c r="J55" s="78"/>
    </row>
    <row r="56" spans="1:10" ht="11.25">
      <c r="A56" s="69"/>
      <c r="B56" s="69"/>
      <c r="C56" s="69" t="s">
        <v>162</v>
      </c>
      <c r="D56" s="69"/>
      <c r="E56" s="498" t="s">
        <v>72</v>
      </c>
      <c r="F56" s="498"/>
      <c r="G56" s="498"/>
      <c r="H56" s="341"/>
      <c r="J56" s="78"/>
    </row>
    <row r="57" spans="1:10" ht="11.25">
      <c r="A57" s="70"/>
      <c r="B57" s="70" t="s">
        <v>71</v>
      </c>
      <c r="C57" s="70" t="s">
        <v>163</v>
      </c>
      <c r="D57" s="70" t="s">
        <v>79</v>
      </c>
      <c r="E57" s="70" t="s">
        <v>83</v>
      </c>
      <c r="F57" s="70" t="s">
        <v>84</v>
      </c>
      <c r="G57" s="70" t="s">
        <v>98</v>
      </c>
      <c r="H57" s="340" t="s">
        <v>73</v>
      </c>
      <c r="J57" s="78"/>
    </row>
    <row r="58" spans="1:10" ht="11.25">
      <c r="A58" s="70" t="s">
        <v>82</v>
      </c>
      <c r="B58" s="70" t="s">
        <v>74</v>
      </c>
      <c r="C58" s="70"/>
      <c r="D58" s="70">
        <v>2021</v>
      </c>
      <c r="E58" s="70" t="s">
        <v>85</v>
      </c>
      <c r="F58" s="70" t="s">
        <v>85</v>
      </c>
      <c r="G58" s="70" t="s">
        <v>376</v>
      </c>
      <c r="H58" s="70">
        <v>2023</v>
      </c>
      <c r="J58" s="78"/>
    </row>
    <row r="59" spans="1:10" ht="11.25">
      <c r="A59" s="70"/>
      <c r="B59" s="70"/>
      <c r="C59" s="70"/>
      <c r="D59" s="70" t="s">
        <v>53</v>
      </c>
      <c r="E59" s="70" t="s">
        <v>53</v>
      </c>
      <c r="F59" s="70" t="s">
        <v>86</v>
      </c>
      <c r="G59" s="70"/>
      <c r="H59" s="340" t="s">
        <v>86</v>
      </c>
      <c r="J59" s="78"/>
    </row>
    <row r="60" spans="1:10" ht="11.25">
      <c r="A60" s="82">
        <v>1</v>
      </c>
      <c r="B60" s="82">
        <v>2</v>
      </c>
      <c r="C60" s="82">
        <v>3</v>
      </c>
      <c r="D60" s="82">
        <v>4</v>
      </c>
      <c r="E60" s="82">
        <v>5</v>
      </c>
      <c r="F60" s="82">
        <v>6</v>
      </c>
      <c r="G60" s="82">
        <v>7</v>
      </c>
      <c r="H60" s="431">
        <v>8</v>
      </c>
      <c r="J60" s="78"/>
    </row>
    <row r="61" spans="1:10" ht="12">
      <c r="A61" s="240" t="s">
        <v>45</v>
      </c>
      <c r="B61" s="350" t="s">
        <v>136</v>
      </c>
      <c r="C61" s="228"/>
      <c r="D61" s="364">
        <f>'FORM 1a-ABR Office'!C1855+'FORM 1a-ABR Office'!C1776+'FORM 1a-ABR Office'!C1700+'FORM 1a-ABR Office'!C1621+'FORM 1a-ABR Office'!C1543+'FORM 1a-ABR Office'!C1462+'FORM 1a-ABR Office'!C1385+'FORM 1a-ABR Office'!C1307+'FORM 1a-ABR Office'!C1227+'FORM 1a-ABR Office'!C1149+'FORM 1a-ABR Office'!C1071+'FORM 1a-ABR Office'!C991+'FORM 1a-ABR Office'!C915+'FORM 1a-ABR Office'!C761+'FORM 1a-ABR Office'!C643+'FORM 1a-ABR Office'!C566+'FORM 1a-ABR Office'!C489+'FORM 1a-ABR Office'!C411+'FORM 1a-ABR Office'!C332+'FORM 1a-ABR Office'!C178+'FORM 1a-ABR Office'!C58</f>
        <v>474399</v>
      </c>
      <c r="E61" s="364">
        <f>'FORM 1a-ABR Office'!D1855+'FORM 1a-ABR Office'!D1776+'FORM 1a-ABR Office'!D1700+'FORM 1a-ABR Office'!D1621+'FORM 1a-ABR Office'!D1543+'FORM 1a-ABR Office'!D1462+'FORM 1a-ABR Office'!D1385+'FORM 1a-ABR Office'!D1307+'FORM 1a-ABR Office'!D1227+'FORM 1a-ABR Office'!D1149+'FORM 1a-ABR Office'!D1071+'FORM 1a-ABR Office'!D991+'FORM 1a-ABR Office'!D915+'FORM 1a-ABR Office'!D761+'FORM 1a-ABR Office'!D643+'FORM 1a-ABR Office'!D566+'FORM 1a-ABR Office'!D489+'FORM 1a-ABR Office'!D411+'FORM 1a-ABR Office'!D332+'FORM 1a-ABR Office'!D178+'FORM 1a-ABR Office'!D58</f>
        <v>208000</v>
      </c>
      <c r="F61" s="364">
        <f>'FORM 1a-ABR Office'!E1855+'FORM 1a-ABR Office'!E1776+'FORM 1a-ABR Office'!E1700+'FORM 1a-ABR Office'!E1621+'FORM 1a-ABR Office'!E1543+'FORM 1a-ABR Office'!E1462+'FORM 1a-ABR Office'!E1385+'FORM 1a-ABR Office'!E1307+'FORM 1a-ABR Office'!E1227+'FORM 1a-ABR Office'!E1149+'FORM 1a-ABR Office'!E1071+'FORM 1a-ABR Office'!E991+'FORM 1a-ABR Office'!E915+'FORM 1a-ABR Office'!E761+'FORM 1a-ABR Office'!E643+'FORM 1a-ABR Office'!E566+'FORM 1a-ABR Office'!E489+'FORM 1a-ABR Office'!E411+'FORM 1a-ABR Office'!E332+'FORM 1a-ABR Office'!E178+'FORM 1a-ABR Office'!E58</f>
        <v>729000</v>
      </c>
      <c r="G61" s="364">
        <f>'FORM 1a-ABR Office'!F1855+'FORM 1a-ABR Office'!F1776+'FORM 1a-ABR Office'!F1700+'FORM 1a-ABR Office'!F1621+'FORM 1a-ABR Office'!F1543+'FORM 1a-ABR Office'!F1462+'FORM 1a-ABR Office'!F1385+'FORM 1a-ABR Office'!F1307+'FORM 1a-ABR Office'!F1227+'FORM 1a-ABR Office'!F1149+'FORM 1a-ABR Office'!F1071+'FORM 1a-ABR Office'!F991+'FORM 1a-ABR Office'!F915+'FORM 1a-ABR Office'!F761+'FORM 1a-ABR Office'!F643+'FORM 1a-ABR Office'!F566+'FORM 1a-ABR Office'!F489+'FORM 1a-ABR Office'!F411+'FORM 1a-ABR Office'!F332+'FORM 1a-ABR Office'!F178+'FORM 1a-ABR Office'!F58</f>
        <v>937000</v>
      </c>
      <c r="H61" s="364">
        <f>'FORM 1a-ABR Office'!G1855+'FORM 1a-ABR Office'!G1776+'FORM 1a-ABR Office'!G1700+'FORM 1a-ABR Office'!G1621+'FORM 1a-ABR Office'!G1543+'FORM 1a-ABR Office'!G1462+'FORM 1a-ABR Office'!G1385+'FORM 1a-ABR Office'!G1307+'FORM 1a-ABR Office'!G1227+'FORM 1a-ABR Office'!G1149+'FORM 1a-ABR Office'!G1071+'FORM 1a-ABR Office'!G991+'FORM 1a-ABR Office'!G915+'FORM 1a-ABR Office'!G761+'FORM 1a-ABR Office'!G643+'FORM 1a-ABR Office'!G566+'FORM 1a-ABR Office'!G489+'FORM 1a-ABR Office'!G411+'FORM 1a-ABR Office'!G332+'FORM 1a-ABR Office'!G178+'FORM 1a-ABR Office'!G58</f>
        <v>432000</v>
      </c>
      <c r="I61" s="47"/>
      <c r="J61" s="78"/>
    </row>
    <row r="62" spans="1:10" ht="12">
      <c r="A62" s="240" t="s">
        <v>305</v>
      </c>
      <c r="B62" s="350" t="s">
        <v>303</v>
      </c>
      <c r="C62" s="228"/>
      <c r="D62" s="234">
        <f>'FORM 1a-ABR Office'!C179</f>
        <v>300000</v>
      </c>
      <c r="E62" s="364">
        <f>'FORM 1a-ABR Office'!D179</f>
        <v>0</v>
      </c>
      <c r="F62" s="364">
        <f>'FORM 1a-ABR Office'!E179</f>
        <v>600000</v>
      </c>
      <c r="G62" s="234">
        <f>'FORM 1a-ABR Office'!F179</f>
        <v>600000</v>
      </c>
      <c r="H62" s="364">
        <f>'FORM 1a-ABR Office'!G179</f>
        <v>600000</v>
      </c>
      <c r="J62" s="78"/>
    </row>
    <row r="63" spans="1:10" ht="12">
      <c r="A63" s="240" t="s">
        <v>326</v>
      </c>
      <c r="B63" s="350" t="s">
        <v>327</v>
      </c>
      <c r="C63" s="228"/>
      <c r="D63" s="364">
        <f>'FORM 1a-ABR Office'!C1622+'FORM 1a-ABR Office'!C1072</f>
        <v>0</v>
      </c>
      <c r="E63" s="364">
        <f>'FORM 1a-ABR Office'!D1622+'FORM 1a-ABR Office'!D1072</f>
        <v>0</v>
      </c>
      <c r="F63" s="364">
        <f>'FORM 1a-ABR Office'!E1622+'FORM 1a-ABR Office'!E1072</f>
        <v>0</v>
      </c>
      <c r="G63" s="364">
        <f>'FORM 1a-ABR Office'!F1622+'FORM 1a-ABR Office'!F1072</f>
        <v>0</v>
      </c>
      <c r="H63" s="364">
        <f>'FORM 1a-ABR Office'!G1622+'FORM 1a-ABR Office'!G1072+'FORM 1a-ABR Office'!G1544</f>
        <v>75000</v>
      </c>
      <c r="J63" s="78"/>
    </row>
    <row r="64" spans="1:10" ht="12">
      <c r="A64" s="240" t="s">
        <v>350</v>
      </c>
      <c r="B64" s="350" t="s">
        <v>328</v>
      </c>
      <c r="C64" s="228"/>
      <c r="D64" s="364">
        <f>'FORM 1a-ABR Office'!C992</f>
        <v>721300</v>
      </c>
      <c r="E64" s="364">
        <f>'FORM 1a-ABR Office'!D992</f>
        <v>0</v>
      </c>
      <c r="F64" s="364">
        <f>'FORM 1a-ABR Office'!E992</f>
        <v>0</v>
      </c>
      <c r="G64" s="364">
        <f>'FORM 1a-ABR Office'!F992</f>
        <v>0</v>
      </c>
      <c r="H64" s="364">
        <f>'FORM 1a-ABR Office'!G992</f>
        <v>0</v>
      </c>
      <c r="J64" s="78"/>
    </row>
    <row r="65" spans="1:10" ht="12">
      <c r="A65" s="240" t="s">
        <v>164</v>
      </c>
      <c r="B65" s="350" t="s">
        <v>137</v>
      </c>
      <c r="C65" s="228"/>
      <c r="D65" s="234">
        <f>'FORM 1a-ABR Office'!C838+'FORM 1a-ABR Office'!C762+'FORM 1a-ABR Office'!C59</f>
        <v>155000</v>
      </c>
      <c r="E65" s="364">
        <f>'FORM 1a-ABR Office'!D838+'FORM 1a-ABR Office'!D762+'FORM 1a-ABR Office'!D59</f>
        <v>0</v>
      </c>
      <c r="F65" s="364">
        <f>'FORM 1a-ABR Office'!E838+'FORM 1a-ABR Office'!E762+'FORM 1a-ABR Office'!E59</f>
        <v>155000</v>
      </c>
      <c r="G65" s="234">
        <f>'FORM 1a-ABR Office'!F838+'FORM 1a-ABR Office'!F762+'FORM 1a-ABR Office'!F59</f>
        <v>155000</v>
      </c>
      <c r="H65" s="364">
        <f>'FORM 1a-ABR Office'!G838+'FORM 1a-ABR Office'!G762+'FORM 1a-ABR Office'!G59</f>
        <v>155000</v>
      </c>
      <c r="J65" s="78"/>
    </row>
    <row r="66" spans="1:10" ht="12">
      <c r="A66" s="240" t="s">
        <v>299</v>
      </c>
      <c r="B66" s="350" t="s">
        <v>213</v>
      </c>
      <c r="C66" s="228"/>
      <c r="D66" s="364">
        <f>'FORM 1a-ABR Office'!C1778+'FORM 1a-ABR Office'!C1701+'FORM 1a-ABR Office'!C1628+'FORM 1a-ABR Office'!C1551+'FORM 1a-ABR Office'!C1076+'FORM 1a-ABR Office'!C993+'FORM 1a-ABR Office'!C185+'FORM 1a-ABR Office'!C67</f>
        <v>369223</v>
      </c>
      <c r="E66" s="364">
        <f>'FORM 1a-ABR Office'!D1778+'FORM 1a-ABR Office'!D1701+'FORM 1a-ABR Office'!D1628+'FORM 1a-ABR Office'!D1551+'FORM 1a-ABR Office'!D1076+'FORM 1a-ABR Office'!D993+'FORM 1a-ABR Office'!D185+'FORM 1a-ABR Office'!D67</f>
        <v>60150</v>
      </c>
      <c r="F66" s="364">
        <f>'FORM 1a-ABR Office'!E1778+'FORM 1a-ABR Office'!E1701+'FORM 1a-ABR Office'!E1628+'FORM 1a-ABR Office'!E1551+'FORM 1a-ABR Office'!E1076+'FORM 1a-ABR Office'!E993+'FORM 1a-ABR Office'!E185+'FORM 1a-ABR Office'!E67</f>
        <v>1244688</v>
      </c>
      <c r="G66" s="364">
        <f>'FORM 1a-ABR Office'!F1778+'FORM 1a-ABR Office'!F1701+'FORM 1a-ABR Office'!F1628+'FORM 1a-ABR Office'!F1551+'FORM 1a-ABR Office'!F1076+'FORM 1a-ABR Office'!F993+'FORM 1a-ABR Office'!F185+'FORM 1a-ABR Office'!F67</f>
        <v>1304838</v>
      </c>
      <c r="H66" s="364">
        <f>'FORM 1a-ABR Office'!G1778+'FORM 1a-ABR Office'!G1701+'FORM 1a-ABR Office'!G1628+'FORM 1a-ABR Office'!G1551+'FORM 1a-ABR Office'!G1076+'FORM 1a-ABR Office'!G993+'FORM 1a-ABR Office'!G185+'FORM 1a-ABR Office'!G67</f>
        <v>156700</v>
      </c>
      <c r="J66" s="78"/>
    </row>
    <row r="67" spans="1:10" ht="12">
      <c r="A67" s="240" t="s">
        <v>95</v>
      </c>
      <c r="B67" s="350" t="s">
        <v>140</v>
      </c>
      <c r="C67" s="228"/>
      <c r="D67" s="376">
        <f>'FORM 1a-ABR Office'!C1703+'FORM 1a-ABR Office'!C1623+'FORM 1a-ABR Office'!C69</f>
        <v>153000</v>
      </c>
      <c r="E67" s="376">
        <f>'FORM 1a-ABR Office'!D1703+'FORM 1a-ABR Office'!D1623+'FORM 1a-ABR Office'!D69</f>
        <v>117600</v>
      </c>
      <c r="F67" s="376">
        <f>'FORM 1a-ABR Office'!E1703+'FORM 1a-ABR Office'!E1623+'FORM 1a-ABR Office'!E69</f>
        <v>132400</v>
      </c>
      <c r="G67" s="376">
        <f>'FORM 1a-ABR Office'!F1703+'FORM 1a-ABR Office'!F1623+'FORM 1a-ABR Office'!F69</f>
        <v>250000</v>
      </c>
      <c r="H67" s="376">
        <f>'FORM 1a-ABR Office'!G1703+'FORM 1a-ABR Office'!G1623+'FORM 1a-ABR Office'!G69</f>
        <v>210000</v>
      </c>
      <c r="J67" s="78"/>
    </row>
    <row r="68" spans="1:10" ht="12">
      <c r="A68" s="240" t="s">
        <v>1</v>
      </c>
      <c r="B68" s="350" t="s">
        <v>141</v>
      </c>
      <c r="C68" s="228"/>
      <c r="D68" s="234">
        <f>'FORM 1a-ABR Office'!C70+'FORM 1a-ABR Office'!C1779</f>
        <v>0</v>
      </c>
      <c r="E68" s="364">
        <f>'FORM 1a-ABR Office'!D70+'FORM 1a-ABR Office'!D1779</f>
        <v>0</v>
      </c>
      <c r="F68" s="364">
        <f>'FORM 1a-ABR Office'!E70+'FORM 1a-ABR Office'!E1779</f>
        <v>5000</v>
      </c>
      <c r="G68" s="234">
        <f>'FORM 1a-ABR Office'!F70+'FORM 1a-ABR Office'!F1779</f>
        <v>5000</v>
      </c>
      <c r="H68" s="364">
        <f>'FORM 1a-ABR Office'!G70+'FORM 1a-ABR Office'!G1779</f>
        <v>5000</v>
      </c>
      <c r="J68" s="78"/>
    </row>
    <row r="69" spans="1:10" ht="12">
      <c r="A69" s="240" t="s">
        <v>104</v>
      </c>
      <c r="B69" s="350" t="s">
        <v>142</v>
      </c>
      <c r="C69" s="228"/>
      <c r="D69" s="234">
        <f>'FORM 1a-ABR Office'!C71</f>
        <v>173250</v>
      </c>
      <c r="E69" s="364">
        <f>'FORM 1a-ABR Office'!D71</f>
        <v>0</v>
      </c>
      <c r="F69" s="364">
        <f>'FORM 1a-ABR Office'!E71</f>
        <v>180000</v>
      </c>
      <c r="G69" s="234">
        <f>'FORM 1a-ABR Office'!F71</f>
        <v>180000</v>
      </c>
      <c r="H69" s="364">
        <f>'FORM 1a-ABR Office'!G71</f>
        <v>180000</v>
      </c>
      <c r="I69" s="78"/>
      <c r="J69" s="78"/>
    </row>
    <row r="70" spans="1:10" ht="12">
      <c r="A70" s="382" t="s">
        <v>330</v>
      </c>
      <c r="B70" s="350" t="s">
        <v>329</v>
      </c>
      <c r="C70" s="228"/>
      <c r="D70" s="364">
        <f>'FORM 1a-ABR Office'!C61</f>
        <v>131500</v>
      </c>
      <c r="E70" s="364">
        <f>'FORM 1a-ABR Office'!D61</f>
        <v>50500</v>
      </c>
      <c r="F70" s="364">
        <f>'FORM 1a-ABR Office'!E61</f>
        <v>81500</v>
      </c>
      <c r="G70" s="364">
        <f>'FORM 1a-ABR Office'!F61</f>
        <v>132000</v>
      </c>
      <c r="H70" s="364">
        <f>'FORM 1a-ABR Office'!G61</f>
        <v>132000</v>
      </c>
      <c r="J70" s="78"/>
    </row>
    <row r="71" spans="1:10" ht="12">
      <c r="A71" s="332" t="s">
        <v>284</v>
      </c>
      <c r="B71" s="351" t="s">
        <v>252</v>
      </c>
      <c r="C71" s="228"/>
      <c r="D71" s="234">
        <f>'FORM 1a-ABR Office'!C60</f>
        <v>98000</v>
      </c>
      <c r="E71" s="364">
        <f>'FORM 1a-ABR Office'!D60</f>
        <v>0</v>
      </c>
      <c r="F71" s="364">
        <f>'FORM 1a-ABR Office'!E60</f>
        <v>100000</v>
      </c>
      <c r="G71" s="234">
        <f>'FORM 1a-ABR Office'!F60</f>
        <v>100000</v>
      </c>
      <c r="H71" s="364">
        <f>'FORM 1a-ABR Office'!G60</f>
        <v>100000</v>
      </c>
      <c r="J71" s="78"/>
    </row>
    <row r="72" spans="1:10" ht="12">
      <c r="A72" s="293" t="s">
        <v>256</v>
      </c>
      <c r="B72" s="352" t="s">
        <v>249</v>
      </c>
      <c r="C72" s="228"/>
      <c r="D72" s="364">
        <f>'FORM 1a-ABR Office'!C994+'FORM 1a-ABR Office'!C1545+'FORM 1a-ABR Office'!C180</f>
        <v>1275060</v>
      </c>
      <c r="E72" s="364">
        <f>'FORM 1a-ABR Office'!D994+'FORM 1a-ABR Office'!D1545+'FORM 1a-ABR Office'!D180</f>
        <v>0</v>
      </c>
      <c r="F72" s="364">
        <f>'FORM 1a-ABR Office'!E994+'FORM 1a-ABR Office'!E1545+'FORM 1a-ABR Office'!E180</f>
        <v>500000</v>
      </c>
      <c r="G72" s="364">
        <f>'FORM 1a-ABR Office'!F994+'FORM 1a-ABR Office'!F1545+'FORM 1a-ABR Office'!F180</f>
        <v>500000</v>
      </c>
      <c r="H72" s="364">
        <f>'FORM 1a-ABR Office'!G994+'FORM 1a-ABR Office'!G1545+'FORM 1a-ABR Office'!G180</f>
        <v>705800</v>
      </c>
      <c r="J72" s="78"/>
    </row>
    <row r="73" spans="1:10" ht="12">
      <c r="A73" s="240" t="s">
        <v>251</v>
      </c>
      <c r="B73" s="350" t="s">
        <v>252</v>
      </c>
      <c r="C73" s="228"/>
      <c r="D73" s="364">
        <f>'FORM 1a-ABR Office'!C62+'FORM 1a-ABR Office'!C181+'FORM 1a-ABR Office'!C256+'FORM 1a-ABR Office'!C333+'FORM 1a-ABR Office'!C412+'FORM 1a-ABR Office'!C490+'FORM 1a-ABR Office'!C567+'FORM 1a-ABR Office'!C644+'FORM 1a-ABR Office'!C763+'FORM 1a-ABR Office'!C839+'FORM 1a-ABR Office'!C918+'FORM 1a-ABR Office'!C995+'FORM 1a-ABR Office'!C1151+'FORM 1a-ABR Office'!C1229+'FORM 1a-ABR Office'!C1624+'FORM 1a-ABR Office'!C1780+'FORM 1a-ABR Office'!C1856</f>
        <v>2811731</v>
      </c>
      <c r="E73" s="364">
        <f>'FORM 1a-ABR Office'!D62+'FORM 1a-ABR Office'!D181+'FORM 1a-ABR Office'!D256+'FORM 1a-ABR Office'!D333+'FORM 1a-ABR Office'!D412+'FORM 1a-ABR Office'!D490+'FORM 1a-ABR Office'!D567+'FORM 1a-ABR Office'!D644+'FORM 1a-ABR Office'!D763+'FORM 1a-ABR Office'!D839+'FORM 1a-ABR Office'!D918+'FORM 1a-ABR Office'!D995+'FORM 1a-ABR Office'!D1151+'FORM 1a-ABR Office'!D1229+'FORM 1a-ABR Office'!D1624+'FORM 1a-ABR Office'!D1780+'FORM 1a-ABR Office'!D1856</f>
        <v>1924200</v>
      </c>
      <c r="F73" s="364">
        <f>'FORM 1a-ABR Office'!E62+'FORM 1a-ABR Office'!E181+'FORM 1a-ABR Office'!E256+'FORM 1a-ABR Office'!E333+'FORM 1a-ABR Office'!E412+'FORM 1a-ABR Office'!E490+'FORM 1a-ABR Office'!E567+'FORM 1a-ABR Office'!E644+'FORM 1a-ABR Office'!E763+'FORM 1a-ABR Office'!E839+'FORM 1a-ABR Office'!E918+'FORM 1a-ABR Office'!E995+'FORM 1a-ABR Office'!E1151+'FORM 1a-ABR Office'!E1229+'FORM 1a-ABR Office'!E1624+'FORM 1a-ABR Office'!E1780+'FORM 1a-ABR Office'!E1856</f>
        <v>4757000</v>
      </c>
      <c r="G73" s="364">
        <f>'FORM 1a-ABR Office'!F62+'FORM 1a-ABR Office'!F181+'FORM 1a-ABR Office'!F256+'FORM 1a-ABR Office'!F333+'FORM 1a-ABR Office'!F412+'FORM 1a-ABR Office'!F490+'FORM 1a-ABR Office'!F567+'FORM 1a-ABR Office'!F644+'FORM 1a-ABR Office'!F763+'FORM 1a-ABR Office'!F839+'FORM 1a-ABR Office'!F918+'FORM 1a-ABR Office'!F995+'FORM 1a-ABR Office'!F1151+'FORM 1a-ABR Office'!F1229+'FORM 1a-ABR Office'!F1624+'FORM 1a-ABR Office'!F1780+'FORM 1a-ABR Office'!F1856</f>
        <v>6681200</v>
      </c>
      <c r="H73" s="364">
        <f>'FORM 1a-ABR Office'!G62+'FORM 1a-ABR Office'!G181+'FORM 1a-ABR Office'!G256+'FORM 1a-ABR Office'!G333+'FORM 1a-ABR Office'!G412+'FORM 1a-ABR Office'!G490+'FORM 1a-ABR Office'!G567+'FORM 1a-ABR Office'!G644+'FORM 1a-ABR Office'!G763+'FORM 1a-ABR Office'!G839+'FORM 1a-ABR Office'!G918+'FORM 1a-ABR Office'!G995+'FORM 1a-ABR Office'!G1151+'FORM 1a-ABR Office'!G1229+'FORM 1a-ABR Office'!G1624+'FORM 1a-ABR Office'!G1780+'FORM 1a-ABR Office'!G1856</f>
        <v>4942400</v>
      </c>
      <c r="I73" s="78"/>
      <c r="J73" s="78"/>
    </row>
    <row r="74" spans="1:10" ht="12">
      <c r="A74" s="240" t="s">
        <v>276</v>
      </c>
      <c r="B74" s="350" t="s">
        <v>291</v>
      </c>
      <c r="C74" s="228"/>
      <c r="D74" s="234">
        <f>'FORM 1a-ABR Office'!C63</f>
        <v>2004300</v>
      </c>
      <c r="E74" s="364">
        <f>'FORM 1a-ABR Office'!D63</f>
        <v>737300</v>
      </c>
      <c r="F74" s="364">
        <f>'FORM 1a-ABR Office'!E63</f>
        <v>1189900</v>
      </c>
      <c r="G74" s="234">
        <f>'FORM 1a-ABR Office'!F63</f>
        <v>1927200</v>
      </c>
      <c r="H74" s="364">
        <f>'FORM 1a-ABR Office'!G63</f>
        <v>2085000</v>
      </c>
      <c r="J74" s="78"/>
    </row>
    <row r="75" spans="1:10" ht="12">
      <c r="A75" s="240" t="s">
        <v>253</v>
      </c>
      <c r="B75" s="350" t="s">
        <v>254</v>
      </c>
      <c r="C75" s="228"/>
      <c r="D75" s="364">
        <f>'FORM 1a-ABR Office'!C1857+'FORM 1a-ABR Office'!C1781+'FORM 1a-ABR Office'!C1704+'FORM 1a-ABR Office'!C1625+'FORM 1a-ABR Office'!C1546+'FORM 1a-ABR Office'!C1464+'FORM 1a-ABR Office'!C1387+'FORM 1a-ABR Office'!C1309+'FORM 1a-ABR Office'!C1230+'FORM 1a-ABR Office'!C1152+'FORM 1a-ABR Office'!C1073+'FORM 1a-ABR Office'!C996+'FORM 1a-ABR Office'!C917+'FORM 1a-ABR Office'!C840+'FORM 1a-ABR Office'!C764+'FORM 1a-ABR Office'!C645+'FORM 1a-ABR Office'!C568+'FORM 1a-ABR Office'!C491+'FORM 1a-ABR Office'!C413+'FORM 1a-ABR Office'!C334+'FORM 1a-ABR Office'!C257+'FORM 1a-ABR Office'!C182+'FORM 1a-ABR Office'!C64</f>
        <v>15107560.969999999</v>
      </c>
      <c r="E75" s="364">
        <f>'FORM 1a-ABR Office'!D1857+'FORM 1a-ABR Office'!D1781+'FORM 1a-ABR Office'!D1704+'FORM 1a-ABR Office'!D1625+'FORM 1a-ABR Office'!D1546+'FORM 1a-ABR Office'!D1464+'FORM 1a-ABR Office'!D1387+'FORM 1a-ABR Office'!D1309+'FORM 1a-ABR Office'!D1230+'FORM 1a-ABR Office'!D1152+'FORM 1a-ABR Office'!D1073+'FORM 1a-ABR Office'!D996+'FORM 1a-ABR Office'!D917+'FORM 1a-ABR Office'!D840+'FORM 1a-ABR Office'!D764+'FORM 1a-ABR Office'!D645+'FORM 1a-ABR Office'!D568+'FORM 1a-ABR Office'!D491+'FORM 1a-ABR Office'!D413+'FORM 1a-ABR Office'!D334+'FORM 1a-ABR Office'!D257+'FORM 1a-ABR Office'!D182+'FORM 1a-ABR Office'!D64</f>
        <v>5315251.77</v>
      </c>
      <c r="F75" s="364">
        <f>'FORM 1a-ABR Office'!E1857+'FORM 1a-ABR Office'!E1781+'FORM 1a-ABR Office'!E1704+'FORM 1a-ABR Office'!E1625+'FORM 1a-ABR Office'!E1546+'FORM 1a-ABR Office'!E1464+'FORM 1a-ABR Office'!E1387+'FORM 1a-ABR Office'!E1309+'FORM 1a-ABR Office'!E1230+'FORM 1a-ABR Office'!E1152+'FORM 1a-ABR Office'!E1073+'FORM 1a-ABR Office'!E996+'FORM 1a-ABR Office'!E917+'FORM 1a-ABR Office'!E840+'FORM 1a-ABR Office'!E764+'FORM 1a-ABR Office'!E645+'FORM 1a-ABR Office'!E568+'FORM 1a-ABR Office'!E491+'FORM 1a-ABR Office'!E413+'FORM 1a-ABR Office'!E334+'FORM 1a-ABR Office'!E257+'FORM 1a-ABR Office'!E182+'FORM 1a-ABR Office'!E64</f>
        <v>12687758.23</v>
      </c>
      <c r="G75" s="364">
        <f>'FORM 1a-ABR Office'!F1857+'FORM 1a-ABR Office'!F1781+'FORM 1a-ABR Office'!F1704+'FORM 1a-ABR Office'!F1625+'FORM 1a-ABR Office'!F1546+'FORM 1a-ABR Office'!F1464+'FORM 1a-ABR Office'!F1387+'FORM 1a-ABR Office'!F1309+'FORM 1a-ABR Office'!F1230+'FORM 1a-ABR Office'!F1152+'FORM 1a-ABR Office'!F1073+'FORM 1a-ABR Office'!F996+'FORM 1a-ABR Office'!F917+'FORM 1a-ABR Office'!F840+'FORM 1a-ABR Office'!F764+'FORM 1a-ABR Office'!F645+'FORM 1a-ABR Office'!F568+'FORM 1a-ABR Office'!F491+'FORM 1a-ABR Office'!F413+'FORM 1a-ABR Office'!F334+'FORM 1a-ABR Office'!F257+'FORM 1a-ABR Office'!F182+'FORM 1a-ABR Office'!F64</f>
        <v>18003010</v>
      </c>
      <c r="H75" s="364">
        <f>'FORM 1a-ABR Office'!G1857+'FORM 1a-ABR Office'!G1781+'FORM 1a-ABR Office'!G1704+'FORM 1a-ABR Office'!G1625+'FORM 1a-ABR Office'!G1546+'FORM 1a-ABR Office'!G1464+'FORM 1a-ABR Office'!G1387+'FORM 1a-ABR Office'!G1309+'FORM 1a-ABR Office'!G1230+'FORM 1a-ABR Office'!G1152+'FORM 1a-ABR Office'!G1073+'FORM 1a-ABR Office'!G996+'FORM 1a-ABR Office'!G917+'FORM 1a-ABR Office'!G840+'FORM 1a-ABR Office'!G764+'FORM 1a-ABR Office'!G645+'FORM 1a-ABR Office'!G568+'FORM 1a-ABR Office'!G491+'FORM 1a-ABR Office'!G413+'FORM 1a-ABR Office'!G334+'FORM 1a-ABR Office'!G257+'FORM 1a-ABR Office'!G182+'FORM 1a-ABR Office'!G64</f>
        <v>14698075</v>
      </c>
      <c r="I75" s="78"/>
      <c r="J75" s="78"/>
    </row>
    <row r="76" spans="1:10" ht="12">
      <c r="A76" s="240" t="s">
        <v>21</v>
      </c>
      <c r="B76" s="350" t="s">
        <v>221</v>
      </c>
      <c r="C76" s="228"/>
      <c r="D76" s="288">
        <f>'FORM 1a-ABR Office'!C1153</f>
        <v>100000</v>
      </c>
      <c r="E76" s="364">
        <f>'FORM 1a-ABR Office'!D1153</f>
        <v>29000</v>
      </c>
      <c r="F76" s="364">
        <f>'FORM 1a-ABR Office'!E1153</f>
        <v>71000</v>
      </c>
      <c r="G76" s="288">
        <f>'FORM 1a-ABR Office'!F1153</f>
        <v>100000</v>
      </c>
      <c r="H76" s="364">
        <f>'FORM 1a-ABR Office'!G1153</f>
        <v>100000</v>
      </c>
      <c r="J76" s="78"/>
    </row>
    <row r="77" spans="1:10" ht="12">
      <c r="A77" s="240" t="s">
        <v>75</v>
      </c>
      <c r="B77" s="353" t="s">
        <v>143</v>
      </c>
      <c r="C77" s="228"/>
      <c r="D77" s="288">
        <f>'FORM 1a-ABR Office'!C72</f>
        <v>193878.33</v>
      </c>
      <c r="E77" s="364">
        <f>'FORM 1a-ABR Office'!D72</f>
        <v>0</v>
      </c>
      <c r="F77" s="364">
        <f>'FORM 1a-ABR Office'!E72</f>
        <v>200000</v>
      </c>
      <c r="G77" s="288">
        <f>'FORM 1a-ABR Office'!F72</f>
        <v>200000</v>
      </c>
      <c r="H77" s="364">
        <f>'FORM 1a-ABR Office'!G72</f>
        <v>200000</v>
      </c>
      <c r="J77" s="78"/>
    </row>
    <row r="78" spans="1:10" ht="12">
      <c r="A78" s="219" t="s">
        <v>144</v>
      </c>
      <c r="B78" s="353" t="s">
        <v>145</v>
      </c>
      <c r="C78" s="228"/>
      <c r="D78" s="288">
        <f>'FORM 1a-ABR Office'!C1782+'FORM 1a-ABR Office'!C1626+'FORM 1a-ABR Office'!C1547+'FORM 1a-ABR Office'!C1310+'FORM 1a-ABR Office'!C1231+'FORM 1a-ABR Office'!C1074+'FORM 1a-ABR Office'!C73+'FORM 1a-ABR Office'!C1858</f>
        <v>501696.9</v>
      </c>
      <c r="E78" s="364">
        <f>'FORM 1a-ABR Office'!D1782+'FORM 1a-ABR Office'!D1626+'FORM 1a-ABR Office'!D1547+'FORM 1a-ABR Office'!D1310+'FORM 1a-ABR Office'!D1231+'FORM 1a-ABR Office'!D1074+'FORM 1a-ABR Office'!D73+'FORM 1a-ABR Office'!D1858</f>
        <v>0</v>
      </c>
      <c r="F78" s="364">
        <f>'FORM 1a-ABR Office'!E1782+'FORM 1a-ABR Office'!E1626+'FORM 1a-ABR Office'!E1547+'FORM 1a-ABR Office'!E1310+'FORM 1a-ABR Office'!E1231+'FORM 1a-ABR Office'!E1074+'FORM 1a-ABR Office'!E73+'FORM 1a-ABR Office'!E1858</f>
        <v>500000</v>
      </c>
      <c r="G78" s="288">
        <f>'FORM 1a-ABR Office'!F1782+'FORM 1a-ABR Office'!F1626+'FORM 1a-ABR Office'!F1547+'FORM 1a-ABR Office'!F1310+'FORM 1a-ABR Office'!F1231+'FORM 1a-ABR Office'!F1074+'FORM 1a-ABR Office'!F73+'FORM 1a-ABR Office'!F1858</f>
        <v>500000</v>
      </c>
      <c r="H78" s="364">
        <f>'FORM 1a-ABR Office'!G73+'FORM 1a-ABR Office'!G1074+'FORM 1a-ABR Office'!G1231+'FORM 1a-ABR Office'!G1310+'FORM 1a-ABR Office'!G1547+'FORM 1a-ABR Office'!G1626+'FORM 1a-ABR Office'!G1705+'FORM 1a-ABR Office'!G1782+'FORM 1a-ABR Office'!G1858</f>
        <v>600000</v>
      </c>
      <c r="J78" s="78"/>
    </row>
    <row r="79" spans="1:10" ht="12">
      <c r="A79" s="240" t="s">
        <v>146</v>
      </c>
      <c r="B79" s="353" t="s">
        <v>147</v>
      </c>
      <c r="C79" s="228"/>
      <c r="D79" s="288">
        <f>'FORM 1a-ABR Office'!C1859+'FORM 1a-ABR Office'!C1783+'FORM 1a-ABR Office'!C1706+'FORM 1a-ABR Office'!C1627+'FORM 1a-ABR Office'!C1548+'FORM 1a-ABR Office'!C1465+'FORM 1a-ABR Office'!C1388+'FORM 1a-ABR Office'!C1311+'FORM 1a-ABR Office'!C1232+'FORM 1a-ABR Office'!C1154+'FORM 1a-ABR Office'!C1075+'FORM 1a-ABR Office'!C997+'FORM 1a-ABR Office'!C841+'FORM 1a-ABR Office'!C765+'FORM 1a-ABR Office'!C184+'FORM 1a-ABR Office'!C258+'FORM 1a-ABR Office'!C646+'FORM 1a-ABR Office'!C74</f>
        <v>636131.2</v>
      </c>
      <c r="E79" s="364">
        <f>'FORM 1a-ABR Office'!D1859+'FORM 1a-ABR Office'!D1783+'FORM 1a-ABR Office'!D1706+'FORM 1a-ABR Office'!D1627+'FORM 1a-ABR Office'!D1548+'FORM 1a-ABR Office'!D1465+'FORM 1a-ABR Office'!D1388+'FORM 1a-ABR Office'!D1311+'FORM 1a-ABR Office'!D1232+'FORM 1a-ABR Office'!D1154+'FORM 1a-ABR Office'!D1075+'FORM 1a-ABR Office'!D997+'FORM 1a-ABR Office'!D841+'FORM 1a-ABR Office'!D765+'FORM 1a-ABR Office'!D184+'FORM 1a-ABR Office'!D258+'FORM 1a-ABR Office'!D646+'FORM 1a-ABR Office'!D74</f>
        <v>33855</v>
      </c>
      <c r="F79" s="364">
        <f>'FORM 1a-ABR Office'!E1859+'FORM 1a-ABR Office'!E1783+'FORM 1a-ABR Office'!E1706+'FORM 1a-ABR Office'!E1627+'FORM 1a-ABR Office'!E1548+'FORM 1a-ABR Office'!E1465+'FORM 1a-ABR Office'!E1388+'FORM 1a-ABR Office'!E1311+'FORM 1a-ABR Office'!E1232+'FORM 1a-ABR Office'!E1154+'FORM 1a-ABR Office'!E1075+'FORM 1a-ABR Office'!E997+'FORM 1a-ABR Office'!E841+'FORM 1a-ABR Office'!E765+'FORM 1a-ABR Office'!E184+'FORM 1a-ABR Office'!E258+'FORM 1a-ABR Office'!E646+'FORM 1a-ABR Office'!E74</f>
        <v>726145</v>
      </c>
      <c r="G79" s="288">
        <f>'FORM 1a-ABR Office'!F1859+'FORM 1a-ABR Office'!F1783+'FORM 1a-ABR Office'!F1706+'FORM 1a-ABR Office'!F1627+'FORM 1a-ABR Office'!F1548+'FORM 1a-ABR Office'!F1465+'FORM 1a-ABR Office'!F1388+'FORM 1a-ABR Office'!F1311+'FORM 1a-ABR Office'!F1232+'FORM 1a-ABR Office'!F1154+'FORM 1a-ABR Office'!F1075+'FORM 1a-ABR Office'!F997+'FORM 1a-ABR Office'!F841+'FORM 1a-ABR Office'!F765+'FORM 1a-ABR Office'!F184+'FORM 1a-ABR Office'!F258+'FORM 1a-ABR Office'!F646+'FORM 1a-ABR Office'!F74</f>
        <v>760000</v>
      </c>
      <c r="H79" s="364">
        <f>'FORM 1a-ABR Office'!G1859+'FORM 1a-ABR Office'!G1783+'FORM 1a-ABR Office'!G1706+'FORM 1a-ABR Office'!G1627+'FORM 1a-ABR Office'!G1548+'FORM 1a-ABR Office'!G1465+'FORM 1a-ABR Office'!G1388+'FORM 1a-ABR Office'!G1311+'FORM 1a-ABR Office'!G1232+'FORM 1a-ABR Office'!G1154+'FORM 1a-ABR Office'!G1075+'FORM 1a-ABR Office'!G997+'FORM 1a-ABR Office'!G841+'FORM 1a-ABR Office'!G765+'FORM 1a-ABR Office'!G646+'FORM 1a-ABR Office'!G569+'FORM 1a-ABR Office'!G492+'FORM 1a-ABR Office'!G414+'FORM 1a-ABR Office'!G335+'FORM 1a-ABR Office'!G258+'FORM 1a-ABR Office'!G184+'FORM 1a-ABR Office'!G74</f>
        <v>735000</v>
      </c>
      <c r="I79" s="305"/>
      <c r="J79" s="78"/>
    </row>
    <row r="80" spans="1:10" ht="12">
      <c r="A80" s="243" t="s">
        <v>238</v>
      </c>
      <c r="B80" s="354" t="s">
        <v>149</v>
      </c>
      <c r="C80" s="228"/>
      <c r="D80" s="288">
        <f>'FORM 1a-ABR Office'!C75+'FORM 1a-ABR Office'!C766+'FORM 1a-ABR Office'!C1389+'FORM 1a-ABR Office'!C1549</f>
        <v>2066000</v>
      </c>
      <c r="E80" s="364">
        <f>'FORM 1a-ABR Office'!D75+'FORM 1a-ABR Office'!D766+'FORM 1a-ABR Office'!D1389+'FORM 1a-ABR Office'!D1549</f>
        <v>563489.99</v>
      </c>
      <c r="F80" s="364">
        <f>'FORM 1a-ABR Office'!E75+'FORM 1a-ABR Office'!E766+'FORM 1a-ABR Office'!E1389+'FORM 1a-ABR Office'!E1549</f>
        <v>1502510.01</v>
      </c>
      <c r="G80" s="288">
        <f>'FORM 1a-ABR Office'!F75+'FORM 1a-ABR Office'!F766+'FORM 1a-ABR Office'!F1389+'FORM 1a-ABR Office'!F1549</f>
        <v>2066000</v>
      </c>
      <c r="H80" s="288">
        <f>'FORM 1a-ABR Office'!G75+'FORM 1a-ABR Office'!G766+'FORM 1a-ABR Office'!G1389+'FORM 1a-ABR Office'!G1549</f>
        <v>2366000</v>
      </c>
      <c r="I80" s="78"/>
      <c r="J80" s="78"/>
    </row>
    <row r="81" spans="1:10" ht="12">
      <c r="A81" s="243" t="s">
        <v>290</v>
      </c>
      <c r="B81" s="354" t="s">
        <v>150</v>
      </c>
      <c r="C81" s="228"/>
      <c r="D81" s="288">
        <f>'FORM 1a-ABR Office'!C76+'FORM 1a-ABR Office'!C1707+'FORM 1a-ABR Office'!C183</f>
        <v>1197534.4</v>
      </c>
      <c r="E81" s="288">
        <f>'FORM 1a-ABR Office'!D76+'FORM 1a-ABR Office'!D1707+'FORM 1a-ABR Office'!D183</f>
        <v>0</v>
      </c>
      <c r="F81" s="288">
        <f>'FORM 1a-ABR Office'!E76+'FORM 1a-ABR Office'!E1707+'FORM 1a-ABR Office'!E183</f>
        <v>2000000</v>
      </c>
      <c r="G81" s="288">
        <f>'FORM 1a-ABR Office'!F76+'FORM 1a-ABR Office'!F1707+'FORM 1a-ABR Office'!F183</f>
        <v>2000000</v>
      </c>
      <c r="H81" s="364">
        <f>'FORM 1a-ABR Office'!G76+'FORM 1a-ABR Office'!G1707+'FORM 1a-ABR Office'!G183</f>
        <v>1060469.56</v>
      </c>
      <c r="J81" s="78"/>
    </row>
    <row r="82" spans="1:10" ht="12">
      <c r="A82" s="243" t="s">
        <v>59</v>
      </c>
      <c r="B82" s="354" t="s">
        <v>151</v>
      </c>
      <c r="C82" s="228"/>
      <c r="D82" s="234">
        <f>'FORM 1a-ABR Office'!C77+'FORM 1a-ABR Office'!C1630</f>
        <v>3210890</v>
      </c>
      <c r="E82" s="364">
        <f>'FORM 1a-ABR Office'!D77+'FORM 1a-ABR Office'!D1630</f>
        <v>4489600</v>
      </c>
      <c r="F82" s="364">
        <f>'FORM 1a-ABR Office'!E77+'FORM 1a-ABR Office'!E1630</f>
        <v>1581400</v>
      </c>
      <c r="G82" s="234">
        <f>'FORM 1a-ABR Office'!F77+'FORM 1a-ABR Office'!F1630</f>
        <v>6071000</v>
      </c>
      <c r="H82" s="364">
        <f>'FORM 1a-ABR Office'!G77+'FORM 1a-ABR Office'!G1630</f>
        <v>5031000</v>
      </c>
      <c r="J82" s="78"/>
    </row>
    <row r="83" spans="1:10" ht="12">
      <c r="A83" s="243" t="s">
        <v>246</v>
      </c>
      <c r="B83" s="354" t="s">
        <v>247</v>
      </c>
      <c r="C83" s="228"/>
      <c r="D83" s="288">
        <f>'FORM 1a-ABR Office'!C78</f>
        <v>0</v>
      </c>
      <c r="E83" s="364">
        <f>'FORM 1a-ABR Office'!D78</f>
        <v>0</v>
      </c>
      <c r="F83" s="364">
        <f>'FORM 1a-ABR Office'!E78</f>
        <v>960000</v>
      </c>
      <c r="G83" s="288">
        <f>'FORM 1a-ABR Office'!F78</f>
        <v>960000</v>
      </c>
      <c r="H83" s="364">
        <f>'FORM 1a-ABR Office'!G78</f>
        <v>930000</v>
      </c>
      <c r="J83" s="78"/>
    </row>
    <row r="84" spans="1:10" ht="12">
      <c r="A84" s="243" t="s">
        <v>212</v>
      </c>
      <c r="B84" s="354" t="s">
        <v>152</v>
      </c>
      <c r="C84" s="228"/>
      <c r="D84" s="234">
        <f>'FORM 1a-ABR Office'!C79</f>
        <v>0</v>
      </c>
      <c r="E84" s="364">
        <f>'FORM 1a-ABR Office'!D79</f>
        <v>0</v>
      </c>
      <c r="F84" s="364">
        <f>'FORM 1a-ABR Office'!E79</f>
        <v>10869.62</v>
      </c>
      <c r="G84" s="234">
        <f>'FORM 1a-ABR Office'!F79</f>
        <v>10869.62</v>
      </c>
      <c r="H84" s="364">
        <v>8887.18</v>
      </c>
      <c r="J84" s="78"/>
    </row>
    <row r="85" spans="1:10" ht="12">
      <c r="A85" s="240" t="s">
        <v>64</v>
      </c>
      <c r="B85" s="353" t="s">
        <v>138</v>
      </c>
      <c r="C85" s="228"/>
      <c r="D85" s="364">
        <f>'FORM 1a-ABR Office'!C65+'FORM 1a-ABR Office'!C767+'FORM 1a-ABR Office'!C1390+'FORM 1a-ABR Office'!C1155+'FORM 1a-ABR Office'!C1550</f>
        <v>52167</v>
      </c>
      <c r="E85" s="364">
        <f>'FORM 1a-ABR Office'!D65+'FORM 1a-ABR Office'!D767+'FORM 1a-ABR Office'!D1390+'FORM 1a-ABR Office'!D1155+'FORM 1a-ABR Office'!D1550</f>
        <v>21030</v>
      </c>
      <c r="F85" s="364">
        <f>'FORM 1a-ABR Office'!E65+'FORM 1a-ABR Office'!E767+'FORM 1a-ABR Office'!E1390+'FORM 1a-ABR Office'!E1155+'FORM 1a-ABR Office'!E1550</f>
        <v>28970</v>
      </c>
      <c r="G85" s="364">
        <f>'FORM 1a-ABR Office'!F65+'FORM 1a-ABR Office'!F767+'FORM 1a-ABR Office'!F1390+'FORM 1a-ABR Office'!F1155+'FORM 1a-ABR Office'!F1550</f>
        <v>50000</v>
      </c>
      <c r="H85" s="364">
        <f>'FORM 1a-ABR Office'!G65+'FORM 1a-ABR Office'!G1390+'FORM 1a-ABR Office'!G1550+'FORM 1a-ABR Office'!G1155</f>
        <v>85000</v>
      </c>
      <c r="J85" s="78"/>
    </row>
    <row r="86" spans="1:10" ht="12">
      <c r="A86" s="240" t="s">
        <v>259</v>
      </c>
      <c r="B86" s="353" t="s">
        <v>260</v>
      </c>
      <c r="C86" s="228"/>
      <c r="D86" s="288">
        <f>'FORM 1a-ABR Office'!C1391</f>
        <v>0</v>
      </c>
      <c r="E86" s="364">
        <f>'FORM 1a-ABR Office'!D1391</f>
        <v>36315.73</v>
      </c>
      <c r="F86" s="364">
        <f>'FORM 1a-ABR Office'!E1391</f>
        <v>0</v>
      </c>
      <c r="G86" s="288">
        <f>'FORM 1a-ABR Office'!F1391</f>
        <v>36315.729999999996</v>
      </c>
      <c r="H86" s="364">
        <f>'FORM 1a-ABR Office'!G1391+'FORM 1a-ABR Office'!G1312</f>
        <v>220000</v>
      </c>
      <c r="J86" s="78"/>
    </row>
    <row r="87" spans="1:10" ht="12">
      <c r="A87" s="240" t="s">
        <v>66</v>
      </c>
      <c r="B87" s="353" t="s">
        <v>139</v>
      </c>
      <c r="C87" s="228"/>
      <c r="D87" s="288">
        <f>'FORM 1a-ABR Office'!C768+'FORM 1a-ABR Office'!C66+'FORM 1a-ABR Office'!C1156</f>
        <v>206120.3</v>
      </c>
      <c r="E87" s="364">
        <f>'FORM 1a-ABR Office'!D768+'FORM 1a-ABR Office'!D66+'FORM 1a-ABR Office'!D1156</f>
        <v>54913.98</v>
      </c>
      <c r="F87" s="364">
        <f>'FORM 1a-ABR Office'!E768+'FORM 1a-ABR Office'!E66+'FORM 1a-ABR Office'!E1156</f>
        <v>245086.02</v>
      </c>
      <c r="G87" s="288">
        <f>'FORM 1a-ABR Office'!F768+'FORM 1a-ABR Office'!F66+'FORM 1a-ABR Office'!F1156</f>
        <v>300000</v>
      </c>
      <c r="H87" s="364">
        <f>'FORM 1a-ABR Office'!G768+'FORM 1a-ABR Office'!G66+'FORM 1a-ABR Office'!G1156</f>
        <v>200000</v>
      </c>
      <c r="J87" s="78"/>
    </row>
    <row r="88" spans="1:10" ht="12">
      <c r="A88" s="240" t="s">
        <v>270</v>
      </c>
      <c r="B88" s="353" t="s">
        <v>271</v>
      </c>
      <c r="C88" s="228"/>
      <c r="D88" s="364">
        <f>'FORM 1a-ABR Office'!C1860+'FORM 1a-ABR Office'!C1784+'FORM 1a-ABR Office'!C1708+'FORM 1a-ABR Office'!C1629+'FORM 1a-ABR Office'!C1552+'FORM 1a-ABR Office'!C1466+'FORM 1a-ABR Office'!C1392+'FORM 1a-ABR Office'!C1313+'FORM 1a-ABR Office'!C1233+'FORM 1a-ABR Office'!C1157+'FORM 1a-ABR Office'!C1077+'FORM 1a-ABR Office'!C998+'FORM 1a-ABR Office'!C842+'FORM 1a-ABR Office'!C769+'FORM 1a-ABR Office'!C650+'FORM 1a-ABR Office'!C573+'FORM 1a-ABR Office'!C496+'FORM 1a-ABR Office'!C418+'FORM 1a-ABR Office'!C339+'FORM 1a-ABR Office'!C186+'FORM 1a-ABR Office'!C68</f>
        <v>2839652</v>
      </c>
      <c r="E88" s="364">
        <f>'FORM 1a-ABR Office'!D1860+'FORM 1a-ABR Office'!D1784+'FORM 1a-ABR Office'!D1708+'FORM 1a-ABR Office'!D1629+'FORM 1a-ABR Office'!D1552+'FORM 1a-ABR Office'!D1466+'FORM 1a-ABR Office'!D1392+'FORM 1a-ABR Office'!D1313+'FORM 1a-ABR Office'!D1233+'FORM 1a-ABR Office'!D1157+'FORM 1a-ABR Office'!D1077+'FORM 1a-ABR Office'!D998+'FORM 1a-ABR Office'!D842+'FORM 1a-ABR Office'!D769+'FORM 1a-ABR Office'!D650+'FORM 1a-ABR Office'!D573+'FORM 1a-ABR Office'!D496+'FORM 1a-ABR Office'!D418+'FORM 1a-ABR Office'!D339+'FORM 1a-ABR Office'!D186+'FORM 1a-ABR Office'!D68</f>
        <v>1833020</v>
      </c>
      <c r="F88" s="364">
        <f>'FORM 1a-ABR Office'!E1860+'FORM 1a-ABR Office'!E1784+'FORM 1a-ABR Office'!E1708+'FORM 1a-ABR Office'!E1629+'FORM 1a-ABR Office'!E1552+'FORM 1a-ABR Office'!E1466+'FORM 1a-ABR Office'!E1392+'FORM 1a-ABR Office'!E1313+'FORM 1a-ABR Office'!E1233+'FORM 1a-ABR Office'!E1157+'FORM 1a-ABR Office'!E1077+'FORM 1a-ABR Office'!E998+'FORM 1a-ABR Office'!E842+'FORM 1a-ABR Office'!E769+'FORM 1a-ABR Office'!E650+'FORM 1a-ABR Office'!E573+'FORM 1a-ABR Office'!E496+'FORM 1a-ABR Office'!E418+'FORM 1a-ABR Office'!E339+'FORM 1a-ABR Office'!E186+'FORM 1a-ABR Office'!E68</f>
        <v>4009700</v>
      </c>
      <c r="G88" s="364">
        <f>'FORM 1a-ABR Office'!F1860+'FORM 1a-ABR Office'!F1784+'FORM 1a-ABR Office'!F1708+'FORM 1a-ABR Office'!F1629+'FORM 1a-ABR Office'!F1552+'FORM 1a-ABR Office'!F1466+'FORM 1a-ABR Office'!F1392+'FORM 1a-ABR Office'!F1313+'FORM 1a-ABR Office'!F1233+'FORM 1a-ABR Office'!F1157+'FORM 1a-ABR Office'!F1077+'FORM 1a-ABR Office'!F998+'FORM 1a-ABR Office'!F842+'FORM 1a-ABR Office'!F769+'FORM 1a-ABR Office'!F650+'FORM 1a-ABR Office'!F573+'FORM 1a-ABR Office'!F496+'FORM 1a-ABR Office'!F418+'FORM 1a-ABR Office'!F339+'FORM 1a-ABR Office'!F186+'FORM 1a-ABR Office'!F68</f>
        <v>5842720</v>
      </c>
      <c r="H88" s="364">
        <f>'FORM 1a-ABR Office'!G1860+'FORM 1a-ABR Office'!G1784+'FORM 1a-ABR Office'!G1708+'FORM 1a-ABR Office'!G1629+'FORM 1a-ABR Office'!G1552+'FORM 1a-ABR Office'!G1466+'FORM 1a-ABR Office'!G1392+'FORM 1a-ABR Office'!G1313+'FORM 1a-ABR Office'!G1233+'FORM 1a-ABR Office'!G1157+'FORM 1a-ABR Office'!G1077+'FORM 1a-ABR Office'!G998+'FORM 1a-ABR Office'!G842+'FORM 1a-ABR Office'!G769+'FORM 1a-ABR Office'!G650+'FORM 1a-ABR Office'!G573+'FORM 1a-ABR Office'!G496+'FORM 1a-ABR Office'!G418+'FORM 1a-ABR Office'!G339+'FORM 1a-ABR Office'!G186+'FORM 1a-ABR Office'!G68</f>
        <v>4604000</v>
      </c>
      <c r="J88" s="78">
        <f>68643621.9-H91</f>
        <v>-15312677.399999991</v>
      </c>
    </row>
    <row r="89" spans="1:10" ht="12">
      <c r="A89" s="240" t="s">
        <v>382</v>
      </c>
      <c r="B89" s="353" t="s">
        <v>153</v>
      </c>
      <c r="C89" s="228"/>
      <c r="D89" s="364"/>
      <c r="E89" s="364"/>
      <c r="F89" s="364"/>
      <c r="G89" s="364"/>
      <c r="H89" s="364">
        <f>'FORM 1a-ABR Office'!G87</f>
        <v>3000000</v>
      </c>
      <c r="J89" s="78"/>
    </row>
    <row r="90" spans="1:10" ht="12">
      <c r="A90" s="240" t="s">
        <v>11</v>
      </c>
      <c r="B90" s="353" t="s">
        <v>153</v>
      </c>
      <c r="C90" s="244"/>
      <c r="D90" s="289">
        <f>SUM('FORM 1a-ABR Office'!C86:C91)+'FORM 1a-ABR Office'!C262+'FORM 1a-ABR Office'!C651+'FORM 1a-ABR Office'!C770+'FORM 1a-ABR Office'!C843+'FORM 1a-ABR Office'!C919+SUM('FORM 1a-ABR Office'!C999:C1000)+SUM('FORM 1a-ABR Office'!C1078:C1080)+'FORM 1a-ABR Office'!C1158+'FORM 1a-ABR Office'!C1234+'FORM 1a-ABR Office'!C1314+'FORM 1a-ABR Office'!C1393+'FORM 1a-ABR Office'!C1467+SUM('FORM 1a-ABR Office'!C1553:C1554)+SUM('FORM 1a-ABR Office'!C1631:C1632)+SUM('FORM 1a-ABR Office'!C1709:C1711)+'FORM 1a-ABR Office'!C1785+'FORM 1a-ABR Office'!C1861+'FORM 1a-ABR Office'!C80</f>
        <v>1483332.81</v>
      </c>
      <c r="E90" s="379">
        <f>'FORM 1a-ABR Office'!D88+'FORM 1a-ABR Office'!D262+'FORM 1a-ABR Office'!D340+'FORM 1a-ABR Office'!D419+'FORM 1a-ABR Office'!D497+'FORM 1a-ABR Office'!D574+'FORM 1a-ABR Office'!D651+'FORM 1a-ABR Office'!D770+'FORM 1a-ABR Office'!D843+'FORM 1a-ABR Office'!D919+'FORM 1a-ABR Office'!D999+'FORM 1a-ABR Office'!D1078+'FORM 1a-ABR Office'!D1158+'FORM 1a-ABR Office'!D1234+'FORM 1a-ABR Office'!D1314+'FORM 1a-ABR Office'!D1393+'FORM 1a-ABR Office'!D1467+'FORM 1a-ABR Office'!D1553+'FORM 1a-ABR Office'!D1631+'FORM 1a-ABR Office'!D1709+'FORM 1a-ABR Office'!D1785+'FORM 1a-ABR Office'!D1861</f>
        <v>742000</v>
      </c>
      <c r="F90" s="379">
        <f>'FORM 1a-ABR Office'!E88+'FORM 1a-ABR Office'!E262+'FORM 1a-ABR Office'!E340+'FORM 1a-ABR Office'!E419+'FORM 1a-ABR Office'!E497+'FORM 1a-ABR Office'!E574+'FORM 1a-ABR Office'!E651+'FORM 1a-ABR Office'!E770+'FORM 1a-ABR Office'!E843+'FORM 1a-ABR Office'!E919+'FORM 1a-ABR Office'!E999+'FORM 1a-ABR Office'!E1078+'FORM 1a-ABR Office'!E1158+'FORM 1a-ABR Office'!E1234+'FORM 1a-ABR Office'!E1314+'FORM 1a-ABR Office'!E1393+'FORM 1a-ABR Office'!E1467+'FORM 1a-ABR Office'!E1553+'FORM 1a-ABR Office'!E1631+'FORM 1a-ABR Office'!E1709+'FORM 1a-ABR Office'!E1785+'FORM 1a-ABR Office'!E1861</f>
        <v>2098617.71</v>
      </c>
      <c r="G90" s="379">
        <f>'FORM 1a-ABR Office'!F88+'FORM 1a-ABR Office'!F262+'FORM 1a-ABR Office'!F340+'FORM 1a-ABR Office'!F419+'FORM 1a-ABR Office'!F497+'FORM 1a-ABR Office'!F574+'FORM 1a-ABR Office'!F651+'FORM 1a-ABR Office'!F770+'FORM 1a-ABR Office'!F843+'FORM 1a-ABR Office'!F919+'FORM 1a-ABR Office'!F999+'FORM 1a-ABR Office'!F1078+'FORM 1a-ABR Office'!F1158+'FORM 1a-ABR Office'!F1234+'FORM 1a-ABR Office'!F1314+'FORM 1a-ABR Office'!F1393+'FORM 1a-ABR Office'!F1467+'FORM 1a-ABR Office'!F1553+'FORM 1a-ABR Office'!F1631+'FORM 1a-ABR Office'!F1709+'FORM 1a-ABR Office'!F1785+'FORM 1a-ABR Office'!F1861</f>
        <v>2840617.71</v>
      </c>
      <c r="H90" s="379">
        <f>'FORM 1a-ABR Office'!G88+'FORM 1a-ABR Office'!G262+'FORM 1a-ABR Office'!G340+'FORM 1a-ABR Office'!G419+'FORM 1a-ABR Office'!G497+'FORM 1a-ABR Office'!G574+'FORM 1a-ABR Office'!G651+'FORM 1a-ABR Office'!G770+'FORM 1a-ABR Office'!G843+'FORM 1a-ABR Office'!G919+'FORM 1a-ABR Office'!G999+'FORM 1a-ABR Office'!G1078+'FORM 1a-ABR Office'!G1158+'FORM 1a-ABR Office'!G1234+'FORM 1a-ABR Office'!G1314+'FORM 1a-ABR Office'!G1393+'FORM 1a-ABR Office'!G1467+'FORM 1a-ABR Office'!G1553+'FORM 1a-ABR Office'!G1631+'FORM 1a-ABR Office'!G1709+'FORM 1a-ABR Office'!G1785+'FORM 1a-ABR Office'!G1861</f>
        <v>3047039.98</v>
      </c>
      <c r="J90" s="78"/>
    </row>
    <row r="91" spans="1:10" ht="12">
      <c r="A91" s="294" t="s">
        <v>192</v>
      </c>
      <c r="B91" s="355"/>
      <c r="C91" s="245"/>
      <c r="D91" s="245">
        <f>SUM(D35:D53)+SUM(D61:D90)</f>
        <v>63422474.91</v>
      </c>
      <c r="E91" s="380">
        <f>SUM(E35:E53)+SUM(E61:E90)</f>
        <v>31064606.11</v>
      </c>
      <c r="F91" s="245">
        <f>SUM(F35:F53)+SUM(F61:F90)</f>
        <v>61811678.08</v>
      </c>
      <c r="G91" s="245">
        <f>SUM(G35:G53)+SUM(G61:G90)</f>
        <v>92876284.19</v>
      </c>
      <c r="H91" s="380">
        <f>SUM(H35:H53)+SUM(H61:H90)</f>
        <v>83956299.3</v>
      </c>
      <c r="I91" s="78"/>
      <c r="J91" s="78">
        <f>H91-70581597.21</f>
        <v>13374702.090000004</v>
      </c>
    </row>
    <row r="92" spans="1:10" ht="12">
      <c r="A92" s="246"/>
      <c r="B92" s="353"/>
      <c r="C92" s="228"/>
      <c r="D92" s="238"/>
      <c r="E92" s="368"/>
      <c r="F92" s="238"/>
      <c r="G92" s="238"/>
      <c r="H92" s="368"/>
      <c r="J92" s="47">
        <f>154000</f>
        <v>154000</v>
      </c>
    </row>
    <row r="93" spans="1:10" ht="12">
      <c r="A93" s="247" t="s">
        <v>332</v>
      </c>
      <c r="B93" s="353"/>
      <c r="C93" s="228"/>
      <c r="D93" s="238"/>
      <c r="E93" s="368"/>
      <c r="F93" s="238"/>
      <c r="G93" s="238"/>
      <c r="H93" s="368"/>
      <c r="J93" s="47"/>
    </row>
    <row r="94" spans="1:10" ht="12">
      <c r="A94" s="240" t="s">
        <v>331</v>
      </c>
      <c r="B94" s="353" t="s">
        <v>335</v>
      </c>
      <c r="C94" s="228"/>
      <c r="D94" s="369">
        <f>'FORM 1a-ABR Office'!C95</f>
        <v>2293352.41</v>
      </c>
      <c r="E94" s="369">
        <f>'FORM 1a-ABR Office'!D95</f>
        <v>788633.25</v>
      </c>
      <c r="F94" s="369">
        <f>'FORM 1a-ABR Office'!E95</f>
        <v>2238484.14</v>
      </c>
      <c r="G94" s="369">
        <f>'FORM 1a-ABR Office'!F95</f>
        <v>3027117.39</v>
      </c>
      <c r="H94" s="369">
        <f>'FORM 1a-ABR Office'!G95</f>
        <v>2236540.07</v>
      </c>
      <c r="J94" s="47"/>
    </row>
    <row r="95" spans="1:8" ht="12">
      <c r="A95" s="239"/>
      <c r="B95" s="353"/>
      <c r="C95" s="228"/>
      <c r="D95" s="249"/>
      <c r="E95" s="396"/>
      <c r="F95" s="250"/>
      <c r="G95" s="250"/>
      <c r="H95" s="426"/>
    </row>
    <row r="96" spans="1:8" ht="12">
      <c r="A96" s="247" t="s">
        <v>177</v>
      </c>
      <c r="B96" s="353"/>
      <c r="C96" s="228"/>
      <c r="D96" s="230"/>
      <c r="E96" s="397"/>
      <c r="F96" s="251"/>
      <c r="G96" s="252"/>
      <c r="H96" s="427"/>
    </row>
    <row r="97" spans="1:8" ht="12">
      <c r="A97" s="219" t="s">
        <v>242</v>
      </c>
      <c r="B97" s="353" t="s">
        <v>154</v>
      </c>
      <c r="C97" s="228"/>
      <c r="D97" s="291">
        <f>'FORM 1a-ABR Office'!C99+'FORM 1a-ABR Office'!C1789+'FORM 1a-ABR Office'!C1165</f>
        <v>3607680.8</v>
      </c>
      <c r="E97" s="370">
        <f>'FORM 1a-ABR Office'!D99+'FORM 1a-ABR Office'!D1789+'FORM 1a-ABR Office'!D1165</f>
        <v>0</v>
      </c>
      <c r="F97" s="370">
        <f>'FORM 1a-ABR Office'!E99+'FORM 1a-ABR Office'!E1789+'FORM 1a-ABR Office'!E1165</f>
        <v>5000000</v>
      </c>
      <c r="G97" s="370">
        <f>'FORM 1a-ABR Office'!F99+'FORM 1a-ABR Office'!F1789+'FORM 1a-ABR Office'!F1165</f>
        <v>5000000</v>
      </c>
      <c r="H97" s="370">
        <f>'FORM 1a-ABR Office'!G99</f>
        <v>6000000</v>
      </c>
    </row>
    <row r="98" spans="1:8" ht="12">
      <c r="A98" s="219" t="s">
        <v>315</v>
      </c>
      <c r="B98" s="353" t="s">
        <v>316</v>
      </c>
      <c r="C98" s="228"/>
      <c r="D98" s="370">
        <f>'FORM 1a-ABR Office'!C267</f>
        <v>32000</v>
      </c>
      <c r="E98" s="370">
        <f>'FORM 1a-ABR Office'!D267</f>
        <v>269208.8</v>
      </c>
      <c r="F98" s="370">
        <f>'FORM 1a-ABR Office'!E267</f>
        <v>680791.2</v>
      </c>
      <c r="G98" s="370">
        <f>'FORM 1a-ABR Office'!F267</f>
        <v>950000</v>
      </c>
      <c r="H98" s="370">
        <f>'FORM 1a-ABR Office'!G267</f>
        <v>0</v>
      </c>
    </row>
    <row r="99" spans="1:8" ht="12">
      <c r="A99" s="219" t="s">
        <v>372</v>
      </c>
      <c r="B99" s="353" t="s">
        <v>264</v>
      </c>
      <c r="C99" s="228"/>
      <c r="D99" s="370">
        <f>'FORM 1a-ABR Office'!C104</f>
        <v>0</v>
      </c>
      <c r="E99" s="370">
        <f>'FORM 1a-ABR Office'!D1560</f>
        <v>0</v>
      </c>
      <c r="F99" s="370">
        <f>'FORM 1a-ABR Office'!E1560</f>
        <v>600000</v>
      </c>
      <c r="G99" s="370">
        <f>'FORM 1a-ABR Office'!F1560</f>
        <v>600000</v>
      </c>
      <c r="H99" s="370">
        <f>'FORM 1a-ABR Office'!G1560</f>
        <v>0</v>
      </c>
    </row>
    <row r="100" spans="1:8" ht="12">
      <c r="A100" s="219" t="s">
        <v>360</v>
      </c>
      <c r="B100" s="353" t="s">
        <v>317</v>
      </c>
      <c r="C100" s="228"/>
      <c r="D100" s="370"/>
      <c r="E100" s="370"/>
      <c r="F100" s="370"/>
      <c r="G100" s="370"/>
      <c r="H100" s="370">
        <f>'FORM 1a-ABR Office'!G193</f>
        <v>0</v>
      </c>
    </row>
    <row r="101" spans="1:8" ht="12">
      <c r="A101" s="219" t="s">
        <v>359</v>
      </c>
      <c r="B101" s="353" t="s">
        <v>313</v>
      </c>
      <c r="C101" s="228"/>
      <c r="D101" s="370">
        <f>'FORM 1a-ABR Office'!C1559+'FORM 1a-ABR Office'!C1869</f>
        <v>0</v>
      </c>
      <c r="E101" s="370">
        <f>'FORM 1a-ABR Office'!D1559+'FORM 1a-ABR Office'!D1869</f>
        <v>0</v>
      </c>
      <c r="F101" s="370">
        <f>'FORM 1a-ABR Office'!E1559+'FORM 1a-ABR Office'!E1869</f>
        <v>500000</v>
      </c>
      <c r="G101" s="370">
        <f>'FORM 1a-ABR Office'!F1559+'FORM 1a-ABR Office'!F1869</f>
        <v>500000</v>
      </c>
      <c r="H101" s="370">
        <f>'FORM 1a-ABR Office'!G1869</f>
        <v>0</v>
      </c>
    </row>
    <row r="102" spans="1:8" ht="12">
      <c r="A102" s="416" t="s">
        <v>374</v>
      </c>
      <c r="B102" s="353" t="s">
        <v>319</v>
      </c>
      <c r="C102" s="417"/>
      <c r="D102" s="386"/>
      <c r="E102" s="386">
        <f>'FORM 1a-ABR Office'!D192</f>
        <v>2450000</v>
      </c>
      <c r="F102" s="386">
        <f>'FORM 1a-ABR Office'!E192</f>
        <v>50000</v>
      </c>
      <c r="G102" s="386">
        <f>'FORM 1a-ABR Office'!F192</f>
        <v>2500000</v>
      </c>
      <c r="H102" s="386">
        <f>'FORM 1a-ABR Office'!G192</f>
        <v>0</v>
      </c>
    </row>
    <row r="103" spans="1:8" ht="12">
      <c r="A103" s="219" t="s">
        <v>242</v>
      </c>
      <c r="B103" s="353" t="s">
        <v>318</v>
      </c>
      <c r="C103" s="327"/>
      <c r="D103" s="386">
        <f>'FORM 1a-ABR Office'!C103</f>
        <v>0</v>
      </c>
      <c r="E103" s="386">
        <f>'FORM 1a-ABR Office'!D103</f>
        <v>0</v>
      </c>
      <c r="F103" s="386">
        <f>'FORM 1a-ABR Office'!E103</f>
        <v>0</v>
      </c>
      <c r="G103" s="386">
        <f>'FORM 1a-ABR Office'!F103</f>
        <v>0</v>
      </c>
      <c r="H103" s="386">
        <f>'FORM 1a-ABR Office'!G103</f>
        <v>2000000</v>
      </c>
    </row>
    <row r="104" spans="1:8" ht="12">
      <c r="A104" s="388"/>
      <c r="B104" s="389"/>
      <c r="C104" s="215"/>
      <c r="D104" s="390"/>
      <c r="E104" s="390"/>
      <c r="F104" s="390"/>
      <c r="G104" s="390"/>
      <c r="H104" s="429"/>
    </row>
    <row r="105" spans="1:8" ht="12">
      <c r="A105" s="391"/>
      <c r="B105" s="392"/>
      <c r="C105" s="80"/>
      <c r="D105" s="393"/>
      <c r="E105" s="393"/>
      <c r="F105" s="393"/>
      <c r="G105" s="393"/>
      <c r="H105" s="430"/>
    </row>
    <row r="106" spans="1:8" ht="12">
      <c r="A106" s="391"/>
      <c r="B106" s="392"/>
      <c r="C106" s="80"/>
      <c r="D106" s="393"/>
      <c r="E106" s="393"/>
      <c r="F106" s="393"/>
      <c r="G106" s="393"/>
      <c r="H106" s="430"/>
    </row>
    <row r="107" spans="1:8" ht="12">
      <c r="A107" s="391"/>
      <c r="B107" s="392"/>
      <c r="C107" s="80"/>
      <c r="D107" s="393"/>
      <c r="E107" s="393"/>
      <c r="F107" s="393"/>
      <c r="G107" s="393"/>
      <c r="H107" s="430"/>
    </row>
    <row r="108" spans="1:8" ht="11.25">
      <c r="A108" s="69"/>
      <c r="B108" s="69"/>
      <c r="C108" s="69" t="s">
        <v>162</v>
      </c>
      <c r="D108" s="69"/>
      <c r="E108" s="498" t="s">
        <v>72</v>
      </c>
      <c r="F108" s="498"/>
      <c r="G108" s="498"/>
      <c r="H108" s="341"/>
    </row>
    <row r="109" spans="1:8" ht="11.25">
      <c r="A109" s="70"/>
      <c r="B109" s="70" t="s">
        <v>71</v>
      </c>
      <c r="C109" s="70" t="s">
        <v>163</v>
      </c>
      <c r="D109" s="70" t="s">
        <v>79</v>
      </c>
      <c r="E109" s="70" t="s">
        <v>83</v>
      </c>
      <c r="F109" s="70" t="s">
        <v>84</v>
      </c>
      <c r="G109" s="70" t="s">
        <v>98</v>
      </c>
      <c r="H109" s="340" t="s">
        <v>73</v>
      </c>
    </row>
    <row r="110" spans="1:8" ht="11.25">
      <c r="A110" s="70" t="s">
        <v>82</v>
      </c>
      <c r="B110" s="70" t="s">
        <v>74</v>
      </c>
      <c r="C110" s="70"/>
      <c r="D110" s="70">
        <v>2021</v>
      </c>
      <c r="E110" s="70" t="s">
        <v>85</v>
      </c>
      <c r="F110" s="70" t="s">
        <v>85</v>
      </c>
      <c r="G110" s="70" t="s">
        <v>376</v>
      </c>
      <c r="H110" s="70">
        <v>2023</v>
      </c>
    </row>
    <row r="111" spans="1:8" ht="11.25">
      <c r="A111" s="70"/>
      <c r="B111" s="70"/>
      <c r="C111" s="70"/>
      <c r="D111" s="70" t="s">
        <v>53</v>
      </c>
      <c r="E111" s="70" t="s">
        <v>53</v>
      </c>
      <c r="F111" s="70" t="s">
        <v>86</v>
      </c>
      <c r="G111" s="70"/>
      <c r="H111" s="340" t="s">
        <v>86</v>
      </c>
    </row>
    <row r="112" spans="1:8" ht="11.25">
      <c r="A112" s="82">
        <v>1</v>
      </c>
      <c r="B112" s="82">
        <v>2</v>
      </c>
      <c r="C112" s="82">
        <v>3</v>
      </c>
      <c r="D112" s="82">
        <v>4</v>
      </c>
      <c r="E112" s="82">
        <v>5</v>
      </c>
      <c r="F112" s="82">
        <v>6</v>
      </c>
      <c r="G112" s="82">
        <v>7</v>
      </c>
      <c r="H112" s="431">
        <v>8</v>
      </c>
    </row>
    <row r="113" spans="1:10" ht="12">
      <c r="A113" s="404" t="s">
        <v>26</v>
      </c>
      <c r="B113" s="405" t="s">
        <v>155</v>
      </c>
      <c r="C113" s="406"/>
      <c r="D113" s="432">
        <f>'FORM 1a-ABR Office'!C100+'FORM 1a-ABR Office'!C655+'FORM 1a-ABR Office'!C848+'FORM 1a-ABR Office'!C924+'FORM 1a-ABR Office'!C1003+'FORM 1a-ABR Office'!C1084+'FORM 1a-ABR Office'!C1162+'FORM 1a-ABR Office'!C1239+'FORM 1a-ABR Office'!C1320+'FORM 1a-ABR Office'!C1396+'FORM 1a-ABR Office'!C1472+'FORM 1a-ABR Office'!C1636+'FORM 1a-ABR Office'!C1790+'FORM 1a-ABR Office'!C1866</f>
        <v>833880</v>
      </c>
      <c r="E113" s="432">
        <f>'FORM 1a-ABR Office'!D100+'FORM 1a-ABR Office'!D655+'FORM 1a-ABR Office'!D848+'FORM 1a-ABR Office'!D924+'FORM 1a-ABR Office'!D1003+'FORM 1a-ABR Office'!D1084+'FORM 1a-ABR Office'!D1162+'FORM 1a-ABR Office'!D1239+'FORM 1a-ABR Office'!D1320+'FORM 1a-ABR Office'!D1396+'FORM 1a-ABR Office'!D1472+'FORM 1a-ABR Office'!D1636+'FORM 1a-ABR Office'!D1790+'FORM 1a-ABR Office'!D1866</f>
        <v>438880</v>
      </c>
      <c r="F113" s="432">
        <f>'FORM 1a-ABR Office'!E100+'FORM 1a-ABR Office'!E655+'FORM 1a-ABR Office'!E848+'FORM 1a-ABR Office'!E924+'FORM 1a-ABR Office'!E1003+'FORM 1a-ABR Office'!E1084+'FORM 1a-ABR Office'!E1162+'FORM 1a-ABR Office'!E1239+'FORM 1a-ABR Office'!E1320+'FORM 1a-ABR Office'!E1396+'FORM 1a-ABR Office'!E1472+'FORM 1a-ABR Office'!E1636+'FORM 1a-ABR Office'!E1790+'FORM 1a-ABR Office'!E1866</f>
        <v>1256020</v>
      </c>
      <c r="G113" s="432">
        <f>'FORM 1a-ABR Office'!F100+'FORM 1a-ABR Office'!F655+'FORM 1a-ABR Office'!F848+'FORM 1a-ABR Office'!F924+'FORM 1a-ABR Office'!F1003+'FORM 1a-ABR Office'!F1084+'FORM 1a-ABR Office'!F1162+'FORM 1a-ABR Office'!F1239+'FORM 1a-ABR Office'!F1320+'FORM 1a-ABR Office'!F1396+'FORM 1a-ABR Office'!F1472+'FORM 1a-ABR Office'!F1636+'FORM 1a-ABR Office'!F1790+'FORM 1a-ABR Office'!F1866</f>
        <v>1694900</v>
      </c>
      <c r="H113" s="432">
        <f>'FORM 1a-ABR Office'!G1559</f>
        <v>150000</v>
      </c>
      <c r="I113" s="78"/>
      <c r="J113" s="47">
        <f>1515187.58-G113</f>
        <v>-179712.41999999993</v>
      </c>
    </row>
    <row r="114" spans="1:10" ht="12">
      <c r="A114" s="279" t="s">
        <v>321</v>
      </c>
      <c r="B114" s="392" t="s">
        <v>217</v>
      </c>
      <c r="C114" s="236"/>
      <c r="D114" s="441"/>
      <c r="E114" s="387">
        <f>'FORM 1a-ABR Office'!D1557</f>
        <v>990000</v>
      </c>
      <c r="F114" s="387">
        <f>'FORM 1a-ABR Office'!E1557</f>
        <v>10000</v>
      </c>
      <c r="G114" s="387">
        <f>'FORM 1a-ABR Office'!F1557</f>
        <v>1000000</v>
      </c>
      <c r="H114" s="387">
        <f>'FORM 1a-ABR Office'!G1557</f>
        <v>400000</v>
      </c>
      <c r="I114" s="78"/>
      <c r="J114" s="47"/>
    </row>
    <row r="115" spans="1:10" ht="12">
      <c r="A115" s="219" t="s">
        <v>346</v>
      </c>
      <c r="B115" s="367" t="s">
        <v>233</v>
      </c>
      <c r="C115" s="228"/>
      <c r="D115" s="364">
        <f>'FORM 1a-ABR Office'!C189</f>
        <v>0</v>
      </c>
      <c r="E115" s="364">
        <f>'FORM 1a-ABR Office'!D189</f>
        <v>0</v>
      </c>
      <c r="F115" s="364">
        <f>'FORM 1a-ABR Office'!E189</f>
        <v>200000</v>
      </c>
      <c r="G115" s="364">
        <f>'FORM 1a-ABR Office'!F189</f>
        <v>200000</v>
      </c>
      <c r="H115" s="364">
        <f>'FORM 1a-ABR Office'!G189+'FORM 1a-ABR Office'!G1789</f>
        <v>0</v>
      </c>
      <c r="J115" s="47"/>
    </row>
    <row r="116" spans="1:9" ht="12">
      <c r="A116" s="219" t="s">
        <v>30</v>
      </c>
      <c r="B116" s="353" t="s">
        <v>156</v>
      </c>
      <c r="C116" s="228"/>
      <c r="D116" s="364">
        <f>'FORM 1a-ABR Office'!C101+'FORM 1a-ABR Office'!C190+'FORM 1a-ABR Office'!C656+'FORM 1a-ABR Office'!C775+'FORM 1a-ABR Office'!C850+'FORM 1a-ABR Office'!C925+'FORM 1a-ABR Office'!C1004+'FORM 1a-ABR Office'!C1085+'FORM 1a-ABR Office'!C1163+'FORM 1a-ABR Office'!C1240+'FORM 1a-ABR Office'!C1321+'FORM 1a-ABR Office'!C1397+'FORM 1a-ABR Office'!C1473+'FORM 1a-ABR Office'!C1638+'FORM 1a-ABR Office'!C1715+'FORM 1a-ABR Office'!C1791+'FORM 1a-ABR Office'!C1867</f>
        <v>258170</v>
      </c>
      <c r="E116" s="364">
        <f>'FORM 1a-ABR Office'!D101+'FORM 1a-ABR Office'!D190+'FORM 1a-ABR Office'!D656+'FORM 1a-ABR Office'!D775+'FORM 1a-ABR Office'!D850+'FORM 1a-ABR Office'!D925+'FORM 1a-ABR Office'!D1004+'FORM 1a-ABR Office'!D1085+'FORM 1a-ABR Office'!D1163+'FORM 1a-ABR Office'!D1240+'FORM 1a-ABR Office'!D1321+'FORM 1a-ABR Office'!D1397+'FORM 1a-ABR Office'!D1473+'FORM 1a-ABR Office'!D1638+'FORM 1a-ABR Office'!D1715+'FORM 1a-ABR Office'!D1791+'FORM 1a-ABR Office'!D1867</f>
        <v>399373</v>
      </c>
      <c r="F116" s="364">
        <f>'FORM 1a-ABR Office'!E101+'FORM 1a-ABR Office'!E190+'FORM 1a-ABR Office'!E656+'FORM 1a-ABR Office'!E775+'FORM 1a-ABR Office'!E850+'FORM 1a-ABR Office'!E925+'FORM 1a-ABR Office'!E1004+'FORM 1a-ABR Office'!E1085+'FORM 1a-ABR Office'!E1163+'FORM 1a-ABR Office'!E1240+'FORM 1a-ABR Office'!E1321+'FORM 1a-ABR Office'!E1397+'FORM 1a-ABR Office'!E1473+'FORM 1a-ABR Office'!E1638+'FORM 1a-ABR Office'!E1715+'FORM 1a-ABR Office'!E1791+'FORM 1a-ABR Office'!E1867</f>
        <v>1130917</v>
      </c>
      <c r="G116" s="364">
        <f>'FORM 1a-ABR Office'!F101+'FORM 1a-ABR Office'!F190+'FORM 1a-ABR Office'!F656+'FORM 1a-ABR Office'!F775+'FORM 1a-ABR Office'!F850+'FORM 1a-ABR Office'!F925+'FORM 1a-ABR Office'!F1004+'FORM 1a-ABR Office'!F1085+'FORM 1a-ABR Office'!F1163+'FORM 1a-ABR Office'!F1240+'FORM 1a-ABR Office'!F1321+'FORM 1a-ABR Office'!F1397+'FORM 1a-ABR Office'!F1473+'FORM 1a-ABR Office'!F1638+'FORM 1a-ABR Office'!F1715+'FORM 1a-ABR Office'!F1791+'FORM 1a-ABR Office'!F1867</f>
        <v>1530290</v>
      </c>
      <c r="H116" s="364">
        <f>'FORM 1a-ABR Office'!G101+'FORM 1a-ABR Office'!G190+'FORM 1a-ABR Office'!G656+'FORM 1a-ABR Office'!G775+'FORM 1a-ABR Office'!G850+'FORM 1a-ABR Office'!G925+'FORM 1a-ABR Office'!G1004+'FORM 1a-ABR Office'!G1085+'FORM 1a-ABR Office'!G1163+'FORM 1a-ABR Office'!G1240+'FORM 1a-ABR Office'!G1321+'FORM 1a-ABR Office'!G1397+'FORM 1a-ABR Office'!G1473+'FORM 1a-ABR Office'!G1638+'FORM 1a-ABR Office'!G1715+'FORM 1a-ABR Office'!G1791+'FORM 1a-ABR Office'!G1867</f>
        <v>0</v>
      </c>
      <c r="I116" s="78"/>
    </row>
    <row r="117" spans="1:10" ht="12">
      <c r="A117" s="219" t="s">
        <v>92</v>
      </c>
      <c r="B117" s="353" t="s">
        <v>157</v>
      </c>
      <c r="C117" s="228"/>
      <c r="D117" s="364">
        <f>'FORM 1a-ABR Office'!C1868+'FORM 1a-ABR Office'!C1792+'FORM 1a-ABR Office'!C1637+'FORM 1a-ABR Office'!C1558+'FORM 1a-ABR Office'!C1474+'FORM 1a-ABR Office'!C1398+'FORM 1a-ABR Office'!C1322+'FORM 1a-ABR Office'!C1241+'FORM 1a-ABR Office'!C1164+'FORM 1a-ABR Office'!C1086+'FORM 1a-ABR Office'!C1005+'FORM 1a-ABR Office'!C926+'FORM 1a-ABR Office'!C849+'FORM 1a-ABR Office'!C266+'FORM 1a-ABR Office'!C191+'FORM 1a-ABR Office'!C102+'FORM 1a-ABR Office'!C774</f>
        <v>450000</v>
      </c>
      <c r="E117" s="364">
        <f>'FORM 1a-ABR Office'!D1868+'FORM 1a-ABR Office'!D1792+'FORM 1a-ABR Office'!D1637+'FORM 1a-ABR Office'!D1558+'FORM 1a-ABR Office'!D1474+'FORM 1a-ABR Office'!D1398+'FORM 1a-ABR Office'!D1322+'FORM 1a-ABR Office'!D1241+'FORM 1a-ABR Office'!D1164+'FORM 1a-ABR Office'!D1086+'FORM 1a-ABR Office'!D1005+'FORM 1a-ABR Office'!D926+'FORM 1a-ABR Office'!D849+'FORM 1a-ABR Office'!D266+'FORM 1a-ABR Office'!D191+'FORM 1a-ABR Office'!D102+'FORM 1a-ABR Office'!D774+'FORM 1a-ABR Office'!D657+'FORM 1a-ABR Office'!D503+'FORM 1a-ABR Office'!D346+'FORM 1a-ABR Office'!D425+'FORM 1a-ABR Office'!D580+'FORM 1a-ABR Office'!D1714</f>
        <v>2351659</v>
      </c>
      <c r="F117" s="364">
        <f>'FORM 1a-ABR Office'!E1868+'FORM 1a-ABR Office'!E1792+'FORM 1a-ABR Office'!E1637+'FORM 1a-ABR Office'!E1558+'FORM 1a-ABR Office'!E1474+'FORM 1a-ABR Office'!E1398+'FORM 1a-ABR Office'!E1322+'FORM 1a-ABR Office'!E1241+'FORM 1a-ABR Office'!E1164+'FORM 1a-ABR Office'!E1086+'FORM 1a-ABR Office'!E1005+'FORM 1a-ABR Office'!E926+'FORM 1a-ABR Office'!E849+'FORM 1a-ABR Office'!E266+'FORM 1a-ABR Office'!E191+'FORM 1a-ABR Office'!E102+'FORM 1a-ABR Office'!E774+'FORM 1a-ABR Office'!E657+'FORM 1a-ABR Office'!E503+'FORM 1a-ABR Office'!E346+'FORM 1a-ABR Office'!E425+'FORM 1a-ABR Office'!E580+'FORM 1a-ABR Office'!E1714</f>
        <v>588341</v>
      </c>
      <c r="G117" s="364">
        <f>'FORM 1a-ABR Office'!F1868+'FORM 1a-ABR Office'!F1792+'FORM 1a-ABR Office'!F1637+'FORM 1a-ABR Office'!F1558+'FORM 1a-ABR Office'!F1474+'FORM 1a-ABR Office'!F1398+'FORM 1a-ABR Office'!F1322+'FORM 1a-ABR Office'!F1241+'FORM 1a-ABR Office'!F1164+'FORM 1a-ABR Office'!F1086+'FORM 1a-ABR Office'!F1005+'FORM 1a-ABR Office'!F926+'FORM 1a-ABR Office'!F849+'FORM 1a-ABR Office'!F266+'FORM 1a-ABR Office'!F191+'FORM 1a-ABR Office'!F102+'FORM 1a-ABR Office'!F774+'FORM 1a-ABR Office'!F657+'FORM 1a-ABR Office'!F503+'FORM 1a-ABR Office'!F346+'FORM 1a-ABR Office'!F425+'FORM 1a-ABR Office'!F580+'FORM 1a-ABR Office'!F1714</f>
        <v>2940000</v>
      </c>
      <c r="H117" s="364">
        <f>'FORM 1a-ABR Office'!G1868+'FORM 1a-ABR Office'!G1792+'FORM 1a-ABR Office'!G1637+'FORM 1a-ABR Office'!G1558+'FORM 1a-ABR Office'!G1474+'FORM 1a-ABR Office'!G1398+'FORM 1a-ABR Office'!G1322+'FORM 1a-ABR Office'!G1241+'FORM 1a-ABR Office'!G1164+'FORM 1a-ABR Office'!G1086+'FORM 1a-ABR Office'!G1005+'FORM 1a-ABR Office'!G926+'FORM 1a-ABR Office'!G849+'FORM 1a-ABR Office'!G266+'FORM 1a-ABR Office'!G191+'FORM 1a-ABR Office'!G102+'FORM 1a-ABR Office'!G774+'FORM 1a-ABR Office'!G657+'FORM 1a-ABR Office'!G503+'FORM 1a-ABR Office'!G346+'FORM 1a-ABR Office'!G425+'FORM 1a-ABR Office'!G580+'FORM 1a-ABR Office'!G1714</f>
        <v>360000</v>
      </c>
      <c r="I117" s="78"/>
      <c r="J117" s="78"/>
    </row>
    <row r="118" spans="1:8" ht="12">
      <c r="A118" s="219" t="s">
        <v>111</v>
      </c>
      <c r="B118" s="353" t="s">
        <v>233</v>
      </c>
      <c r="C118" s="228"/>
      <c r="D118" s="364">
        <f>'FORM 1a-ABR Office'!C1869</f>
        <v>0</v>
      </c>
      <c r="E118" s="364">
        <v>0</v>
      </c>
      <c r="F118" s="364">
        <v>0</v>
      </c>
      <c r="G118" s="364">
        <v>0</v>
      </c>
      <c r="H118" s="364">
        <v>0</v>
      </c>
    </row>
    <row r="119" spans="1:8" ht="12">
      <c r="A119" s="219" t="s">
        <v>365</v>
      </c>
      <c r="B119" s="353"/>
      <c r="C119" s="228"/>
      <c r="D119" s="364"/>
      <c r="E119" s="364">
        <f>'FORM 1a-ABR Office'!D105</f>
        <v>0</v>
      </c>
      <c r="F119" s="364">
        <f>'FORM 1a-ABR Office'!E105</f>
        <v>300000</v>
      </c>
      <c r="G119" s="364">
        <f>'FORM 1a-ABR Office'!F105</f>
        <v>300000</v>
      </c>
      <c r="H119" s="364">
        <f>'FORM 1a-ABR Office'!G105</f>
        <v>0</v>
      </c>
    </row>
    <row r="120" spans="1:8" ht="12">
      <c r="A120" s="219" t="s">
        <v>110</v>
      </c>
      <c r="B120" s="353" t="s">
        <v>158</v>
      </c>
      <c r="C120" s="228"/>
      <c r="D120" s="288">
        <f>'FORM 1a-ABR Office'!C1006+'FORM 1a-ABR Office'!C1087+'FORM 1a-ABR Office'!C268+'FORM 1a-ABR Office'!C1559+'FORM 1a-ABR Office'!C106</f>
        <v>0</v>
      </c>
      <c r="E120" s="364">
        <f>'FORM 1a-ABR Office'!D1006+'FORM 1a-ABR Office'!D1087+'FORM 1a-ABR Office'!D268+'FORM 1a-ABR Office'!D106+'FORM 1a-ABR Office'!D1561</f>
        <v>4070000</v>
      </c>
      <c r="F120" s="364">
        <f>'FORM 1a-ABR Office'!E1006+'FORM 1a-ABR Office'!E1087+'FORM 1a-ABR Office'!E268+'FORM 1a-ABR Office'!E106+'FORM 1a-ABR Office'!E1561</f>
        <v>505000</v>
      </c>
      <c r="G120" s="364">
        <f>'FORM 1a-ABR Office'!F1006+'FORM 1a-ABR Office'!F1087+'FORM 1a-ABR Office'!F268+'FORM 1a-ABR Office'!F106+'FORM 1a-ABR Office'!F1561</f>
        <v>4575000</v>
      </c>
      <c r="H120" s="364">
        <f>'FORM 1a-ABR Office'!G1006+'FORM 1a-ABR Office'!G1087+'FORM 1a-ABR Office'!G268+'FORM 1a-ABR Office'!G106+'FORM 1a-ABR Office'!G1561</f>
        <v>0</v>
      </c>
    </row>
    <row r="121" spans="1:8" ht="12">
      <c r="A121" s="219" t="s">
        <v>339</v>
      </c>
      <c r="B121" s="353" t="s">
        <v>338</v>
      </c>
      <c r="C121" s="228"/>
      <c r="D121" s="387">
        <f>'FORM 1a-ABR Office'!C1716+'FORM 1a-ABR Office'!C194</f>
        <v>0</v>
      </c>
      <c r="E121" s="387">
        <f>'FORM 1a-ABR Office'!D1716+'FORM 1a-ABR Office'!D194</f>
        <v>0</v>
      </c>
      <c r="F121" s="387">
        <f>'FORM 1a-ABR Office'!E1716+'FORM 1a-ABR Office'!E194</f>
        <v>300000</v>
      </c>
      <c r="G121" s="387">
        <f>'FORM 1a-ABR Office'!F1716+'FORM 1a-ABR Office'!F194</f>
        <v>300000</v>
      </c>
      <c r="H121" s="387">
        <f>'FORM 1a-ABR Office'!G1716+'FORM 1a-ABR Office'!G194</f>
        <v>0</v>
      </c>
    </row>
    <row r="122" spans="1:10" ht="12">
      <c r="A122" s="253" t="s">
        <v>77</v>
      </c>
      <c r="B122" s="350"/>
      <c r="C122" s="228"/>
      <c r="D122" s="255">
        <f>SUM(D97:D103)+SUM(D113:D121)</f>
        <v>5181730.8</v>
      </c>
      <c r="E122" s="398">
        <f>SUM(E97:E103)+SUM(E113:E121)</f>
        <v>10969120.8</v>
      </c>
      <c r="F122" s="255">
        <f>SUM(F97:F103)+SUM(F113:F121)</f>
        <v>11121069.2</v>
      </c>
      <c r="G122" s="255">
        <f>SUM(G97:G103)+SUM(G113:G121)</f>
        <v>22090190</v>
      </c>
      <c r="H122" s="398">
        <f>SUM(H97:H103)+SUM(H113:H121)</f>
        <v>8910000</v>
      </c>
      <c r="I122" s="47"/>
      <c r="J122" s="47" t="e">
        <f>#REF!-'FORM 1B-ABR Summary'!H122</f>
        <v>#REF!</v>
      </c>
    </row>
    <row r="123" spans="1:10" ht="11.25">
      <c r="A123" s="253"/>
      <c r="B123" s="254"/>
      <c r="C123" s="228"/>
      <c r="D123" s="255"/>
      <c r="E123" s="398"/>
      <c r="F123" s="255"/>
      <c r="G123" s="255"/>
      <c r="H123" s="398"/>
      <c r="J123" s="47">
        <f>H122/H131*100</f>
        <v>3.7308925853133745</v>
      </c>
    </row>
    <row r="124" spans="1:10" ht="12">
      <c r="A124" s="322" t="s">
        <v>280</v>
      </c>
      <c r="B124" s="254"/>
      <c r="C124" s="228"/>
      <c r="D124" s="255"/>
      <c r="E124" s="398"/>
      <c r="F124" s="255"/>
      <c r="G124" s="255"/>
      <c r="H124" s="398"/>
      <c r="J124" s="47"/>
    </row>
    <row r="125" spans="1:10" ht="11.25">
      <c r="A125" s="56" t="s">
        <v>51</v>
      </c>
      <c r="B125" s="230"/>
      <c r="C125" s="228"/>
      <c r="D125" s="248">
        <f>'FORM 1a-ABR Office'!C684</f>
        <v>17815396.2</v>
      </c>
      <c r="E125" s="383">
        <f>'FORM 1a-ABR Office'!D684</f>
        <v>15395983.2</v>
      </c>
      <c r="F125" s="248">
        <f>'FORM 1a-ABR Office'!E684</f>
        <v>39219391</v>
      </c>
      <c r="G125" s="248">
        <f>'FORM 1a-ABR Office'!F684</f>
        <v>54615374.2</v>
      </c>
      <c r="H125" s="383">
        <v>45647169.2</v>
      </c>
      <c r="I125" s="47"/>
      <c r="J125" s="47"/>
    </row>
    <row r="126" spans="1:10" ht="11.25">
      <c r="A126" s="219" t="s">
        <v>281</v>
      </c>
      <c r="B126" s="230"/>
      <c r="C126" s="228"/>
      <c r="D126" s="248">
        <f>'FORM 1a-ABR Office'!C685</f>
        <v>7925597.06</v>
      </c>
      <c r="E126" s="383">
        <f>'FORM 1a-ABR Office'!D685</f>
        <v>1391100</v>
      </c>
      <c r="F126" s="248">
        <f>'FORM 1a-ABR Office'!E685</f>
        <v>12426378.56</v>
      </c>
      <c r="G126" s="383">
        <f>'FORM 1a-ABR Office'!F685</f>
        <v>13817478.56</v>
      </c>
      <c r="H126" s="383">
        <v>11940842.3</v>
      </c>
      <c r="I126" s="47"/>
      <c r="J126" s="47"/>
    </row>
    <row r="127" spans="1:8" ht="11.25">
      <c r="A127" s="319" t="s">
        <v>14</v>
      </c>
      <c r="B127" s="252"/>
      <c r="C127" s="228"/>
      <c r="D127" s="257">
        <f>'FORM 1a-ABR Office'!C686</f>
        <v>22600</v>
      </c>
      <c r="E127" s="384">
        <f>'FORM 1a-ABR Office'!D686</f>
        <v>0</v>
      </c>
      <c r="F127" s="257">
        <f>'FORM 1a-ABR Office'!E686</f>
        <v>31000</v>
      </c>
      <c r="G127" s="257">
        <f>'FORM 1a-ABR Office'!F686</f>
        <v>31000</v>
      </c>
      <c r="H127" s="384">
        <v>31000</v>
      </c>
    </row>
    <row r="128" spans="1:8" ht="11.25">
      <c r="A128" s="294" t="s">
        <v>282</v>
      </c>
      <c r="B128" s="230"/>
      <c r="C128" s="228"/>
      <c r="D128" s="320">
        <f>SUM(D125:D127)</f>
        <v>25763593.259999998</v>
      </c>
      <c r="E128" s="400">
        <f>SUM(E125:E127)</f>
        <v>16787083.2</v>
      </c>
      <c r="F128" s="321">
        <f>SUM(F125:F127)</f>
        <v>51676769.56</v>
      </c>
      <c r="G128" s="321">
        <f>SUM(G125:G127)</f>
        <v>68463852.76</v>
      </c>
      <c r="H128" s="369">
        <f>SUM(H125:H127)</f>
        <v>57619011.5</v>
      </c>
    </row>
    <row r="129" spans="1:8" ht="12">
      <c r="A129" s="258"/>
      <c r="B129" s="259"/>
      <c r="C129" s="260"/>
      <c r="D129" s="261"/>
      <c r="E129" s="401"/>
      <c r="F129" s="261"/>
      <c r="G129" s="261"/>
      <c r="H129" s="428"/>
    </row>
    <row r="130" spans="1:8" ht="11.25">
      <c r="A130" s="256"/>
      <c r="B130" s="252"/>
      <c r="C130" s="228"/>
      <c r="D130" s="252"/>
      <c r="E130" s="397"/>
      <c r="F130" s="251"/>
      <c r="G130" s="252"/>
      <c r="H130" s="427"/>
    </row>
    <row r="131" spans="1:10" ht="11.25">
      <c r="A131" s="262" t="s">
        <v>97</v>
      </c>
      <c r="B131" s="252"/>
      <c r="C131" s="260"/>
      <c r="D131" s="260">
        <f>D33+D91+D122+D128+D94</f>
        <v>166911649.31620198</v>
      </c>
      <c r="E131" s="399">
        <f>E33+E91+E122+E128+E94</f>
        <v>97526999.39</v>
      </c>
      <c r="F131" s="399">
        <f>F33+F91+F122+F128+F94</f>
        <v>178822571.610748</v>
      </c>
      <c r="G131" s="399">
        <f>G33+G91+G122+G128+G94</f>
        <v>276349571.000748</v>
      </c>
      <c r="H131" s="399">
        <f>H33+H91+H122+H128+H94</f>
        <v>238816846.00286096</v>
      </c>
      <c r="I131" s="78"/>
      <c r="J131" s="78"/>
    </row>
    <row r="132" spans="1:10" ht="11.25">
      <c r="A132" s="262"/>
      <c r="B132" s="252"/>
      <c r="C132" s="260"/>
      <c r="D132" s="260"/>
      <c r="E132" s="385"/>
      <c r="F132" s="260"/>
      <c r="G132" s="260"/>
      <c r="H132" s="385"/>
      <c r="J132" s="78"/>
    </row>
    <row r="133" spans="1:8" ht="11.25">
      <c r="A133" s="262" t="s">
        <v>41</v>
      </c>
      <c r="B133" s="252"/>
      <c r="C133" s="260"/>
      <c r="D133" s="260">
        <v>55094317.81</v>
      </c>
      <c r="E133" s="399">
        <v>64160823.07</v>
      </c>
      <c r="F133" s="263">
        <v>-64130324.46</v>
      </c>
      <c r="G133" s="472">
        <v>0</v>
      </c>
      <c r="H133" s="385">
        <v>0</v>
      </c>
    </row>
    <row r="134" spans="1:8" ht="11.25">
      <c r="A134" s="264"/>
      <c r="B134" s="265"/>
      <c r="C134" s="266"/>
      <c r="D134" s="438" t="s">
        <v>105</v>
      </c>
      <c r="E134" s="266"/>
      <c r="F134" s="266"/>
      <c r="G134" s="266"/>
      <c r="H134" s="436"/>
    </row>
    <row r="135" spans="1:11" ht="11.25">
      <c r="A135" s="86"/>
      <c r="B135" s="79"/>
      <c r="C135" s="79"/>
      <c r="D135" s="459" t="e">
        <f>'FORM 1a-ABR Office'!#REF!</f>
        <v>#REF!</v>
      </c>
      <c r="E135" s="459" t="e">
        <f>'FORM 1a-ABR Office'!#REF!</f>
        <v>#REF!</v>
      </c>
      <c r="F135" s="459" t="e">
        <f>'FORM 1a-ABR Office'!#REF!</f>
        <v>#REF!</v>
      </c>
      <c r="G135" s="459" t="e">
        <f>'FORM 1a-ABR Office'!#REF!</f>
        <v>#REF!</v>
      </c>
      <c r="H135" s="459" t="e">
        <f>'FORM 1a-ABR Office'!#REF!</f>
        <v>#REF!</v>
      </c>
      <c r="I135" s="460"/>
      <c r="J135" s="461"/>
      <c r="K135" s="306"/>
    </row>
    <row r="136" spans="1:11" ht="13.5">
      <c r="A136" s="86"/>
      <c r="B136" s="79"/>
      <c r="C136" s="79"/>
      <c r="D136" s="459" t="e">
        <f>D135-D131</f>
        <v>#REF!</v>
      </c>
      <c r="E136" s="459" t="e">
        <f>E135-E131</f>
        <v>#REF!</v>
      </c>
      <c r="F136" s="459" t="e">
        <f>F135-F131</f>
        <v>#REF!</v>
      </c>
      <c r="G136" s="459" t="e">
        <f>G135-G131</f>
        <v>#REF!</v>
      </c>
      <c r="H136" s="459"/>
      <c r="I136" s="460">
        <f>546000+H136</f>
        <v>546000</v>
      </c>
      <c r="J136" s="461"/>
      <c r="K136" s="342"/>
    </row>
    <row r="137" spans="1:11" ht="12.75">
      <c r="A137" s="210" t="s">
        <v>239</v>
      </c>
      <c r="B137" s="84"/>
      <c r="C137" s="84"/>
      <c r="D137" s="99"/>
      <c r="E137" s="99"/>
      <c r="F137" s="99"/>
      <c r="G137" s="99"/>
      <c r="H137" s="437"/>
      <c r="I137" s="99"/>
      <c r="K137" s="47"/>
    </row>
    <row r="138" spans="1:9" ht="12.75">
      <c r="A138" s="211" t="s">
        <v>240</v>
      </c>
      <c r="B138" s="84"/>
      <c r="C138" s="84"/>
      <c r="D138" s="99"/>
      <c r="E138" s="99"/>
      <c r="F138" s="99"/>
      <c r="G138" s="450" t="s">
        <v>380</v>
      </c>
      <c r="H138" s="450">
        <f>'[1]Sheet3'!$B$44-H137</f>
        <v>764989.174813</v>
      </c>
      <c r="I138" s="99"/>
    </row>
    <row r="139" spans="1:11" ht="12.75">
      <c r="A139" s="100"/>
      <c r="B139" s="84"/>
      <c r="C139" s="84"/>
      <c r="D139" s="99"/>
      <c r="E139" s="99"/>
      <c r="F139" s="99"/>
      <c r="G139" s="450"/>
      <c r="H139" s="450"/>
      <c r="I139" s="99"/>
      <c r="K139" s="47"/>
    </row>
    <row r="140" spans="1:9" ht="12.75">
      <c r="A140" s="100"/>
      <c r="B140" s="84"/>
      <c r="C140" s="84"/>
      <c r="D140" s="99"/>
      <c r="E140" s="99"/>
      <c r="F140" s="99"/>
      <c r="G140" s="99"/>
      <c r="H140" s="99"/>
      <c r="I140" s="99"/>
    </row>
    <row r="141" spans="1:9" ht="12.75">
      <c r="A141" s="100" t="s">
        <v>76</v>
      </c>
      <c r="B141" s="99" t="s">
        <v>277</v>
      </c>
      <c r="E141" s="99" t="s">
        <v>182</v>
      </c>
      <c r="F141" s="99"/>
      <c r="G141" s="99" t="s">
        <v>171</v>
      </c>
      <c r="H141" s="99"/>
      <c r="I141" s="99"/>
    </row>
    <row r="142" spans="1:9" ht="12.75">
      <c r="A142" s="84" t="s">
        <v>39</v>
      </c>
      <c r="B142" s="2" t="s">
        <v>278</v>
      </c>
      <c r="E142" s="214" t="s">
        <v>62</v>
      </c>
      <c r="F142" s="99"/>
      <c r="G142" s="2" t="s">
        <v>279</v>
      </c>
      <c r="H142" s="99"/>
      <c r="I142" s="99"/>
    </row>
    <row r="143" spans="1:9" ht="12.75">
      <c r="A143" s="100"/>
      <c r="B143" s="84"/>
      <c r="C143" s="84"/>
      <c r="D143" s="99"/>
      <c r="E143" s="99"/>
      <c r="F143" s="99"/>
      <c r="G143" s="99"/>
      <c r="H143" s="99"/>
      <c r="I143" s="99"/>
    </row>
    <row r="144" spans="1:9" ht="12.75">
      <c r="A144" s="100"/>
      <c r="B144" s="84"/>
      <c r="C144" s="84"/>
      <c r="D144" s="99"/>
      <c r="E144" s="99"/>
      <c r="F144" s="99"/>
      <c r="G144" s="99"/>
      <c r="H144" s="99"/>
      <c r="I144" s="99"/>
    </row>
    <row r="145" spans="1:9" ht="12.75">
      <c r="A145" s="84" t="s">
        <v>36</v>
      </c>
      <c r="C145" s="84"/>
      <c r="D145" s="99"/>
      <c r="E145" s="99"/>
      <c r="F145" s="99"/>
      <c r="G145" s="99"/>
      <c r="H145" s="99"/>
      <c r="I145" s="99"/>
    </row>
    <row r="146" spans="1:9" ht="12.75">
      <c r="A146" s="100"/>
      <c r="B146" s="84"/>
      <c r="C146" s="84"/>
      <c r="D146" s="99"/>
      <c r="E146" s="99"/>
      <c r="F146" s="99"/>
      <c r="G146" s="99"/>
      <c r="H146" s="99"/>
      <c r="I146" s="99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212" t="s">
        <v>161</v>
      </c>
      <c r="C149" s="97"/>
      <c r="D149" s="1"/>
      <c r="E149" s="1"/>
      <c r="F149" s="1"/>
      <c r="G149" s="1"/>
      <c r="H149" s="1"/>
      <c r="I149" s="1"/>
    </row>
    <row r="150" spans="1:3" ht="12.75">
      <c r="A150" s="213" t="s">
        <v>25</v>
      </c>
      <c r="C150" s="101"/>
    </row>
  </sheetData>
  <sheetProtection/>
  <mergeCells count="6">
    <mergeCell ref="E108:G108"/>
    <mergeCell ref="E6:G6"/>
    <mergeCell ref="E56:G56"/>
    <mergeCell ref="A1:E2"/>
    <mergeCell ref="A3:H3"/>
    <mergeCell ref="A4:H4"/>
  </mergeCells>
  <printOptions/>
  <pageMargins left="1" right="1" top="0.25" bottom="0" header="0.511811023622047" footer="0.511811023622047"/>
  <pageSetup fitToHeight="0" horizontalDpi="300" verticalDpi="300" orientation="landscape" paperSize="5" scale="95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5" max="5" width="9.7109375" style="0" customWidth="1"/>
  </cols>
  <sheetData>
    <row r="1" spans="1:5" ht="15">
      <c r="A1" s="500" t="s">
        <v>388</v>
      </c>
      <c r="B1" s="500"/>
      <c r="C1" s="500"/>
      <c r="D1" s="500"/>
      <c r="E1" s="500"/>
    </row>
    <row r="3" ht="13.5" thickBot="1">
      <c r="A3" t="s">
        <v>43</v>
      </c>
    </row>
    <row r="4" spans="1:5" ht="15" customHeight="1" thickBot="1">
      <c r="A4" s="501">
        <v>86094995.13</v>
      </c>
      <c r="B4" s="502"/>
      <c r="C4" s="502"/>
      <c r="D4" s="502"/>
      <c r="E4" s="503"/>
    </row>
    <row r="6" ht="13.5" thickBot="1">
      <c r="A6" t="s">
        <v>389</v>
      </c>
    </row>
    <row r="7" spans="1:5" ht="15" customHeight="1" thickBot="1">
      <c r="A7" s="504">
        <v>83956299.3</v>
      </c>
      <c r="B7" s="505"/>
      <c r="C7" s="505"/>
      <c r="D7" s="505"/>
      <c r="E7" s="506"/>
    </row>
    <row r="9" ht="13.5" thickBot="1">
      <c r="A9" t="s">
        <v>390</v>
      </c>
    </row>
    <row r="10" spans="1:5" ht="15" customHeight="1" thickBot="1">
      <c r="A10" s="507">
        <v>8910000</v>
      </c>
      <c r="B10" s="508"/>
      <c r="C10" s="508"/>
      <c r="D10" s="508"/>
      <c r="E10" s="509"/>
    </row>
    <row r="12" ht="13.5" thickBot="1">
      <c r="A12" t="s">
        <v>334</v>
      </c>
    </row>
    <row r="13" spans="1:5" ht="15" customHeight="1" thickBot="1">
      <c r="A13" s="507">
        <v>2236540.07</v>
      </c>
      <c r="B13" s="508"/>
      <c r="C13" s="508"/>
      <c r="D13" s="508"/>
      <c r="E13" s="509"/>
    </row>
  </sheetData>
  <sheetProtection/>
  <mergeCells count="5">
    <mergeCell ref="A1:E1"/>
    <mergeCell ref="A4:E4"/>
    <mergeCell ref="A7:E7"/>
    <mergeCell ref="A10:E10"/>
    <mergeCell ref="A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MB-Office</cp:lastModifiedBy>
  <cp:lastPrinted>2023-03-01T06:24:37Z</cp:lastPrinted>
  <dcterms:created xsi:type="dcterms:W3CDTF">2000-06-15T16:49:02Z</dcterms:created>
  <dcterms:modified xsi:type="dcterms:W3CDTF">2023-03-08T04:15:09Z</dcterms:modified>
  <cp:category/>
  <cp:version/>
  <cp:contentType/>
  <cp:contentStatus/>
</cp:coreProperties>
</file>